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0"/>
  <workbookPr/>
  <mc:AlternateContent xmlns:mc="http://schemas.openxmlformats.org/markup-compatibility/2006">
    <mc:Choice Requires="x15">
      <x15ac:absPath xmlns:x15ac="http://schemas.microsoft.com/office/spreadsheetml/2010/11/ac" url="C:\Users\Admin\Desktop\МЕНЮ\Элита\"/>
    </mc:Choice>
  </mc:AlternateContent>
  <xr:revisionPtr revIDLastSave="2" documentId="13_ncr:1_{4AF6165F-0639-4BB4-9941-3D30419A185B}" xr6:coauthVersionLast="47" xr6:coauthVersionMax="47" xr10:uidLastSave="{FD584099-A6D1-6F4B-B0F7-3FF6698A8444}"/>
  <bookViews>
    <workbookView xWindow="-108" yWindow="-108" windowWidth="23256" windowHeight="12576" xr2:uid="{00000000-000D-0000-FFFF-FFFF00000000}"/>
  </bookViews>
  <sheets>
    <sheet name="бесплатно" sheetId="1" r:id="rId1"/>
    <sheet name="платно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2" i="2" l="1"/>
  <c r="I32" i="2"/>
  <c r="H32" i="2"/>
  <c r="G32" i="2"/>
  <c r="J31" i="2"/>
  <c r="J33" i="2"/>
  <c r="I31" i="2"/>
  <c r="I33" i="2"/>
  <c r="H31" i="2"/>
  <c r="H33" i="2"/>
  <c r="G31" i="2"/>
  <c r="G33" i="2"/>
  <c r="F31" i="2"/>
  <c r="F29" i="2"/>
  <c r="F33" i="2"/>
  <c r="J26" i="2"/>
  <c r="I26" i="2"/>
  <c r="H26" i="2"/>
  <c r="G26" i="2"/>
  <c r="J25" i="2"/>
  <c r="I25" i="2"/>
  <c r="H25" i="2"/>
  <c r="G25" i="2"/>
  <c r="F26" i="2"/>
  <c r="F20" i="2"/>
  <c r="F38" i="1"/>
  <c r="F36" i="1"/>
  <c r="F37" i="1"/>
  <c r="F21" i="1"/>
  <c r="F20" i="1"/>
  <c r="F16" i="1"/>
  <c r="J9" i="2"/>
  <c r="I9" i="2"/>
  <c r="H9" i="2"/>
  <c r="G9" i="2"/>
  <c r="F4" i="2"/>
  <c r="F10" i="2"/>
  <c r="F39" i="1"/>
  <c r="F25" i="1"/>
  <c r="F4" i="1"/>
  <c r="F15" i="1"/>
  <c r="G34" i="1"/>
  <c r="F34" i="1"/>
  <c r="F23" i="2"/>
  <c r="F21" i="2"/>
  <c r="J16" i="2"/>
  <c r="I16" i="2"/>
  <c r="H16" i="2"/>
  <c r="G16" i="2"/>
  <c r="F16" i="2"/>
  <c r="F12" i="2"/>
  <c r="F17" i="2"/>
  <c r="F14" i="2"/>
  <c r="J8" i="2"/>
  <c r="I8" i="2"/>
  <c r="H8" i="2"/>
  <c r="G8" i="2"/>
  <c r="F6" i="2"/>
  <c r="F27" i="1"/>
  <c r="F24" i="2"/>
  <c r="F27" i="2"/>
  <c r="F28" i="2"/>
  <c r="F7" i="2"/>
  <c r="F11" i="2"/>
  <c r="F7" i="1"/>
  <c r="F6" i="1"/>
  <c r="H9" i="1"/>
  <c r="G9" i="1"/>
  <c r="J8" i="1"/>
  <c r="H8" i="1"/>
  <c r="G8" i="1"/>
  <c r="F9" i="1"/>
  <c r="F8" i="1"/>
  <c r="F18" i="2"/>
  <c r="J18" i="2"/>
  <c r="I18" i="2"/>
  <c r="H18" i="2"/>
  <c r="G18" i="2"/>
  <c r="F42" i="1"/>
  <c r="F41" i="1"/>
  <c r="J27" i="1"/>
  <c r="I27" i="1"/>
  <c r="H27" i="1"/>
  <c r="G27" i="1"/>
  <c r="F30" i="1"/>
  <c r="F29" i="1"/>
  <c r="F31" i="1"/>
  <c r="J9" i="1"/>
  <c r="I9" i="1"/>
  <c r="I8" i="1"/>
  <c r="F10" i="1"/>
  <c r="F28" i="1"/>
  <c r="G14" i="2"/>
  <c r="H14" i="2"/>
  <c r="I14" i="2"/>
  <c r="J14" i="2"/>
  <c r="G7" i="1"/>
  <c r="H7" i="1"/>
  <c r="I7" i="1"/>
  <c r="J7" i="1"/>
  <c r="F15" i="2"/>
  <c r="J27" i="2"/>
  <c r="I27" i="2"/>
  <c r="H27" i="2"/>
  <c r="G27" i="2"/>
  <c r="J24" i="2"/>
  <c r="I24" i="2"/>
  <c r="H24" i="2"/>
  <c r="G24" i="2"/>
  <c r="G28" i="2"/>
  <c r="J10" i="2"/>
  <c r="I10" i="2"/>
  <c r="H10" i="2"/>
  <c r="G10" i="2"/>
  <c r="J7" i="2"/>
  <c r="I7" i="2"/>
  <c r="H7" i="2"/>
  <c r="G7" i="2"/>
  <c r="J15" i="2"/>
  <c r="J19" i="2"/>
  <c r="I15" i="2"/>
  <c r="I19" i="2"/>
  <c r="H15" i="2"/>
  <c r="H19" i="2"/>
  <c r="G15" i="2"/>
  <c r="G19" i="2"/>
  <c r="H28" i="2"/>
  <c r="I28" i="2"/>
  <c r="J28" i="2"/>
  <c r="G11" i="2"/>
  <c r="J17" i="1"/>
  <c r="I17" i="1"/>
  <c r="H17" i="1"/>
  <c r="G17" i="1"/>
  <c r="J13" i="1"/>
  <c r="I13" i="1"/>
  <c r="H13" i="1"/>
  <c r="G13" i="1"/>
  <c r="G14" i="1"/>
  <c r="G43" i="1"/>
  <c r="G22" i="1"/>
  <c r="J34" i="1"/>
  <c r="I34" i="1"/>
  <c r="H34" i="1"/>
  <c r="G35" i="1"/>
  <c r="J11" i="2"/>
  <c r="I11" i="2"/>
  <c r="H11" i="2"/>
  <c r="H43" i="1"/>
  <c r="I43" i="1"/>
  <c r="J43" i="1"/>
  <c r="H35" i="1"/>
  <c r="J35" i="1"/>
  <c r="I35" i="1"/>
  <c r="J31" i="1"/>
  <c r="I31" i="1"/>
  <c r="I32" i="1"/>
  <c r="H31" i="1"/>
  <c r="H32" i="1"/>
  <c r="G31" i="1"/>
  <c r="G32" i="1"/>
  <c r="J32" i="1"/>
  <c r="J10" i="1"/>
  <c r="J11" i="1"/>
  <c r="I10" i="1"/>
  <c r="I11" i="1"/>
  <c r="H10" i="1"/>
  <c r="H11" i="1"/>
  <c r="G10" i="1"/>
  <c r="G11" i="1"/>
  <c r="J22" i="1"/>
  <c r="I22" i="1"/>
  <c r="H22" i="1"/>
  <c r="J14" i="1"/>
  <c r="I14" i="1"/>
  <c r="H14" i="1"/>
</calcChain>
</file>

<file path=xl/sharedStrings.xml><?xml version="1.0" encoding="utf-8"?>
<sst xmlns="http://schemas.openxmlformats.org/spreadsheetml/2006/main" count="209" uniqueCount="70">
  <si>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</si>
  <si>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</si>
  <si>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</si>
  <si>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</si>
  <si>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</si>
  <si>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</si>
  <si>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</si>
  <si>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</si>
  <si>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</si>
  <si>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</si>
  <si>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</si>
  <si>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</si>
  <si>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</si>
  <si>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</si>
  <si>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</si>
  <si>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</si>
  <si>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</si>
  <si>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</si>
  <si>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</si>
  <si>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</si>
  <si>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</si>
  <si>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</si>
  <si>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</si>
  <si>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</si>
  <si>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</si>
  <si>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</si>
  <si>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</si>
  <si>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</si>
  <si>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</si>
  <si>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</si>
  <si>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</si>
  <si>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Сок</t>
  </si>
  <si>
    <t>гарнир</t>
  </si>
  <si>
    <t>150</t>
  </si>
  <si>
    <t>180</t>
  </si>
  <si>
    <t>Макаронные изделия с сыром</t>
  </si>
  <si>
    <t>Чай с молоком</t>
  </si>
  <si>
    <t>Икра кабачковая</t>
  </si>
  <si>
    <t>Масло сливочное</t>
  </si>
  <si>
    <t>добавки</t>
  </si>
  <si>
    <t>Пицца школьная</t>
  </si>
  <si>
    <t>Котлеты рыбные</t>
  </si>
  <si>
    <t>Рис пропущеный с томатом</t>
  </si>
  <si>
    <t>Напиток из шиповника</t>
  </si>
  <si>
    <t>200</t>
  </si>
  <si>
    <t>100</t>
  </si>
  <si>
    <t xml:space="preserve"> </t>
  </si>
  <si>
    <t>добавка</t>
  </si>
  <si>
    <t>90</t>
  </si>
  <si>
    <t>Зеленый горошек</t>
  </si>
  <si>
    <t>Макаронные изделия маслом</t>
  </si>
  <si>
    <t>2 блюдо.</t>
  </si>
  <si>
    <t>гарнир.</t>
  </si>
  <si>
    <t>Котлета мясная</t>
  </si>
  <si>
    <t>Соус сметанный с томатом</t>
  </si>
  <si>
    <t>Суп картофельный с макаронными изделиями и мясом  птицы</t>
  </si>
  <si>
    <t>Вафли</t>
  </si>
  <si>
    <t>40</t>
  </si>
  <si>
    <t>60</t>
  </si>
  <si>
    <t>170</t>
  </si>
  <si>
    <t>Суп картофельный с мак.изделиями</t>
  </si>
  <si>
    <t>250</t>
  </si>
  <si>
    <t>120</t>
  </si>
  <si>
    <t xml:space="preserve">напиток </t>
  </si>
  <si>
    <t>30</t>
  </si>
  <si>
    <t>245/5</t>
  </si>
  <si>
    <t>МБОУ Элитовская СОШ</t>
  </si>
  <si>
    <t>160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</si>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</sst>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0" fillId="0" borderId="1" xfId="0" applyBorder="1" applyProtection="1">
      <protection locked="0"/>
    </xf>
    <xf numFmtId="2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1" xfId="0" applyBorder="1"/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Protection="1">
      <protection locked="0"/>
    </xf>
    <xf numFmtId="0" fontId="4" fillId="0" borderId="0" xfId="0" applyFont="1"/>
    <xf numFmtId="0" fontId="3" fillId="0" borderId="0" xfId="0" applyFont="1" applyAlignment="1">
      <alignment vertical="center"/>
    </xf>
    <xf numFmtId="0" fontId="3" fillId="0" borderId="5" xfId="0" applyFont="1" applyBorder="1"/>
    <xf numFmtId="0" fontId="3" fillId="0" borderId="8" xfId="0" applyFont="1" applyBorder="1"/>
    <xf numFmtId="0" fontId="3" fillId="0" borderId="11" xfId="0" applyFont="1" applyBorder="1"/>
    <xf numFmtId="0" fontId="3" fillId="0" borderId="14" xfId="0" applyFont="1" applyBorder="1"/>
    <xf numFmtId="0" fontId="3" fillId="0" borderId="15" xfId="0" applyFont="1" applyBorder="1" applyProtection="1">
      <protection locked="0"/>
    </xf>
    <xf numFmtId="0" fontId="3" fillId="0" borderId="15" xfId="0" applyFont="1" applyBorder="1"/>
    <xf numFmtId="2" fontId="3" fillId="0" borderId="15" xfId="0" applyNumberFormat="1" applyFont="1" applyBorder="1"/>
    <xf numFmtId="2" fontId="3" fillId="0" borderId="16" xfId="0" applyNumberFormat="1" applyFont="1" applyBorder="1"/>
    <xf numFmtId="2" fontId="0" fillId="0" borderId="17" xfId="0" applyNumberFormat="1" applyBorder="1" applyProtection="1">
      <protection locked="0"/>
    </xf>
    <xf numFmtId="0" fontId="0" fillId="0" borderId="14" xfId="0" applyBorder="1"/>
    <xf numFmtId="0" fontId="0" fillId="0" borderId="15" xfId="0" applyBorder="1" applyProtection="1">
      <protection locked="0"/>
    </xf>
    <xf numFmtId="0" fontId="0" fillId="0" borderId="15" xfId="0" applyBorder="1"/>
    <xf numFmtId="2" fontId="0" fillId="0" borderId="15" xfId="0" applyNumberFormat="1" applyBorder="1"/>
    <xf numFmtId="2" fontId="0" fillId="0" borderId="16" xfId="0" applyNumberFormat="1" applyBorder="1"/>
    <xf numFmtId="49" fontId="6" fillId="0" borderId="6" xfId="0" applyNumberFormat="1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1" fontId="6" fillId="0" borderId="6" xfId="0" applyNumberFormat="1" applyFont="1" applyBorder="1" applyAlignment="1" applyProtection="1">
      <alignment horizontal="center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49" fontId="6" fillId="0" borderId="11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0" fillId="0" borderId="18" xfId="0" applyBorder="1"/>
    <xf numFmtId="0" fontId="2" fillId="0" borderId="15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wrapText="1"/>
      <protection locked="0"/>
    </xf>
    <xf numFmtId="1" fontId="6" fillId="0" borderId="15" xfId="0" applyNumberFormat="1" applyFont="1" applyBorder="1" applyAlignment="1" applyProtection="1">
      <alignment horizontal="center"/>
      <protection locked="0"/>
    </xf>
    <xf numFmtId="0" fontId="0" fillId="0" borderId="19" xfId="0" applyBorder="1"/>
    <xf numFmtId="0" fontId="2" fillId="0" borderId="20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wrapText="1"/>
      <protection locked="0"/>
    </xf>
    <xf numFmtId="1" fontId="6" fillId="0" borderId="20" xfId="0" applyNumberFormat="1" applyFont="1" applyBorder="1" applyAlignment="1" applyProtection="1">
      <alignment horizontal="center"/>
      <protection locked="0"/>
    </xf>
    <xf numFmtId="2" fontId="0" fillId="0" borderId="20" xfId="0" applyNumberFormat="1" applyBorder="1" applyProtection="1">
      <protection locked="0"/>
    </xf>
    <xf numFmtId="0" fontId="8" fillId="0" borderId="15" xfId="0" applyFont="1" applyBorder="1" applyAlignment="1">
      <alignment horizontal="center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0" fillId="0" borderId="15" xfId="0" applyNumberFormat="1" applyBorder="1" applyProtection="1">
      <protection locked="0"/>
    </xf>
    <xf numFmtId="2" fontId="0" fillId="0" borderId="16" xfId="0" applyNumberFormat="1" applyBorder="1" applyProtection="1"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2" fontId="6" fillId="0" borderId="20" xfId="0" applyNumberFormat="1" applyFont="1" applyBorder="1" applyAlignment="1" applyProtection="1">
      <alignment horizontal="center"/>
      <protection locked="0"/>
    </xf>
    <xf numFmtId="2" fontId="6" fillId="0" borderId="15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15" xfId="0" applyNumberFormat="1" applyFont="1" applyBorder="1" applyAlignment="1">
      <alignment horizontal="center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wrapText="1"/>
      <protection locked="0"/>
    </xf>
    <xf numFmtId="49" fontId="6" fillId="0" borderId="4" xfId="0" applyNumberFormat="1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2" fontId="8" fillId="0" borderId="15" xfId="0" applyNumberFormat="1" applyFont="1" applyBorder="1" applyAlignment="1">
      <alignment horizontal="center"/>
    </xf>
    <xf numFmtId="14" fontId="3" fillId="0" borderId="0" xfId="0" applyNumberFormat="1" applyFont="1"/>
    <xf numFmtId="0" fontId="3" fillId="0" borderId="11" xfId="0" applyFont="1" applyBorder="1" applyProtection="1">
      <protection locked="0"/>
    </xf>
    <xf numFmtId="0" fontId="8" fillId="0" borderId="11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3" fillId="0" borderId="11" xfId="0" applyNumberFormat="1" applyFont="1" applyBorder="1"/>
    <xf numFmtId="2" fontId="3" fillId="0" borderId="12" xfId="0" applyNumberFormat="1" applyFont="1" applyBorder="1"/>
    <xf numFmtId="0" fontId="3" fillId="0" borderId="1" xfId="0" applyFont="1" applyBorder="1"/>
    <xf numFmtId="0" fontId="3" fillId="0" borderId="21" xfId="0" applyFont="1" applyBorder="1"/>
    <xf numFmtId="2" fontId="0" fillId="0" borderId="22" xfId="0" applyNumberFormat="1" applyBorder="1" applyProtection="1">
      <protection locked="0"/>
    </xf>
    <xf numFmtId="0" fontId="0" fillId="0" borderId="13" xfId="0" applyBorder="1"/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4" xfId="0" applyFont="1" applyBorder="1"/>
    <xf numFmtId="0" fontId="0" fillId="0" borderId="26" xfId="0" applyBorder="1"/>
    <xf numFmtId="0" fontId="3" fillId="0" borderId="20" xfId="0" applyFont="1" applyBorder="1"/>
    <xf numFmtId="0" fontId="0" fillId="0" borderId="2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3" fillId="0" borderId="11" xfId="0" applyFont="1" applyBorder="1" applyAlignment="1">
      <alignment horizontal="left"/>
    </xf>
    <xf numFmtId="0" fontId="3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M47"/>
  <sheetViews>
    <sheetView tabSelected="1" topLeftCell="C1" zoomScale="110" zoomScaleNormal="110" workbookViewId="0">
      <selection activeCell="H1" sqref="H1"/>
    </sheetView>
  </sheetViews>
  <sheetFormatPr defaultRowHeight="15" x14ac:dyDescent="0.2"/>
  <cols>
    <col min="1" max="1" width="11.8359375" bestFit="1" customWidth="1"/>
    <col min="2" max="2" width="11.56640625" customWidth="1"/>
    <col min="3" max="3" width="7.12890625" bestFit="1" customWidth="1"/>
    <col min="4" max="4" width="24.6171875" bestFit="1" customWidth="1"/>
    <col min="5" max="5" width="8.0703125" style="16" bestFit="1" customWidth="1"/>
    <col min="6" max="6" width="8.203125" style="16" bestFit="1" customWidth="1"/>
    <col min="7" max="7" width="7.6640625" customWidth="1"/>
    <col min="8" max="8" width="10.22265625" bestFit="1" customWidth="1"/>
    <col min="9" max="9" width="6.58984375" customWidth="1"/>
    <col min="10" max="10" width="10.0859375" bestFit="1" customWidth="1"/>
  </cols>
  <sheetData>
    <row r="1" spans="1:10" ht="28.9" customHeight="1" x14ac:dyDescent="0.2">
      <c r="A1" t="s">
        <v>0</v>
      </c>
      <c r="B1" s="103" t="s">
        <v>66</v>
      </c>
      <c r="C1" s="104"/>
      <c r="D1" s="105"/>
      <c r="E1" s="16" t="s">
        <v>26</v>
      </c>
      <c r="F1" s="15"/>
      <c r="H1" s="80">
        <v>45068</v>
      </c>
      <c r="I1" s="22"/>
      <c r="J1" s="80"/>
    </row>
    <row r="2" spans="1:10" ht="15.75" thickBot="1" x14ac:dyDescent="0.25">
      <c r="B2" s="1" t="s">
        <v>25</v>
      </c>
    </row>
    <row r="3" spans="1:10" s="17" customFormat="1" ht="28.5" thickBot="1" x14ac:dyDescent="0.25">
      <c r="A3" s="90" t="s">
        <v>1</v>
      </c>
      <c r="B3" s="91" t="s">
        <v>2</v>
      </c>
      <c r="C3" s="91" t="s">
        <v>18</v>
      </c>
      <c r="D3" s="91" t="s">
        <v>3</v>
      </c>
      <c r="E3" s="92" t="s">
        <v>19</v>
      </c>
      <c r="F3" s="92" t="s">
        <v>4</v>
      </c>
      <c r="G3" s="93" t="s">
        <v>5</v>
      </c>
      <c r="H3" s="91" t="s">
        <v>6</v>
      </c>
      <c r="I3" s="91" t="s">
        <v>7</v>
      </c>
      <c r="J3" s="94" t="s">
        <v>8</v>
      </c>
    </row>
    <row r="4" spans="1:10" ht="27.75" x14ac:dyDescent="0.2">
      <c r="A4" s="6" t="s">
        <v>9</v>
      </c>
      <c r="B4" s="89" t="s">
        <v>10</v>
      </c>
      <c r="C4" s="75">
        <v>37</v>
      </c>
      <c r="D4" s="76" t="s">
        <v>35</v>
      </c>
      <c r="E4" s="77" t="s">
        <v>33</v>
      </c>
      <c r="F4" s="78">
        <f>25.8*150/160</f>
        <v>24.1875</v>
      </c>
      <c r="G4" s="13">
        <v>242.13</v>
      </c>
      <c r="H4" s="13">
        <v>10.42</v>
      </c>
      <c r="I4" s="13">
        <v>10.37</v>
      </c>
      <c r="J4" s="33">
        <v>29.82</v>
      </c>
    </row>
    <row r="5" spans="1:10" x14ac:dyDescent="0.2">
      <c r="A5" s="6"/>
      <c r="B5" s="86" t="s">
        <v>11</v>
      </c>
      <c r="C5" s="75">
        <v>20</v>
      </c>
      <c r="D5" s="76" t="s">
        <v>36</v>
      </c>
      <c r="E5" s="77" t="s">
        <v>44</v>
      </c>
      <c r="F5" s="78">
        <v>5.37</v>
      </c>
      <c r="G5" s="13">
        <v>70</v>
      </c>
      <c r="H5" s="13">
        <v>1.4</v>
      </c>
      <c r="I5" s="13">
        <v>1.6</v>
      </c>
      <c r="J5" s="33">
        <v>12.36</v>
      </c>
    </row>
    <row r="6" spans="1:10" x14ac:dyDescent="0.2">
      <c r="A6" s="6"/>
      <c r="B6" s="106" t="s">
        <v>39</v>
      </c>
      <c r="C6" s="48">
        <v>27</v>
      </c>
      <c r="D6" s="49" t="s">
        <v>37</v>
      </c>
      <c r="E6" s="40">
        <v>60</v>
      </c>
      <c r="F6" s="66">
        <f>11.52*60/60</f>
        <v>11.52</v>
      </c>
      <c r="G6" s="8">
        <v>71.400000000000006</v>
      </c>
      <c r="H6" s="8">
        <v>1.1399999999999999</v>
      </c>
      <c r="I6" s="8">
        <v>5.34</v>
      </c>
      <c r="J6" s="9">
        <v>4.62</v>
      </c>
    </row>
    <row r="7" spans="1:10" x14ac:dyDescent="0.2">
      <c r="A7" s="6"/>
      <c r="B7" s="107"/>
      <c r="C7" s="48">
        <v>3</v>
      </c>
      <c r="D7" s="49" t="s">
        <v>38</v>
      </c>
      <c r="E7" s="40">
        <v>10</v>
      </c>
      <c r="F7" s="66">
        <f>9.82*10/10</f>
        <v>9.82</v>
      </c>
      <c r="G7" s="8">
        <f>64.7</f>
        <v>64.7</v>
      </c>
      <c r="H7" s="8">
        <f>0.08</f>
        <v>0.08</v>
      </c>
      <c r="I7" s="8">
        <f>7.15</f>
        <v>7.15</v>
      </c>
      <c r="J7" s="9">
        <f>0.12</f>
        <v>0.12</v>
      </c>
    </row>
    <row r="8" spans="1:10" x14ac:dyDescent="0.2">
      <c r="A8" s="6"/>
      <c r="B8" s="14" t="s">
        <v>16</v>
      </c>
      <c r="C8" s="48" t="s">
        <v>20</v>
      </c>
      <c r="D8" s="49" t="s">
        <v>21</v>
      </c>
      <c r="E8" s="40">
        <v>20</v>
      </c>
      <c r="F8" s="66">
        <f>50.71*0.02</f>
        <v>1.0142</v>
      </c>
      <c r="G8" s="8">
        <f>40*20/20</f>
        <v>40</v>
      </c>
      <c r="H8" s="8">
        <f>0.98*20/20</f>
        <v>0.98000000000000009</v>
      </c>
      <c r="I8" s="8">
        <f>0.2*28/20</f>
        <v>0.28000000000000003</v>
      </c>
      <c r="J8" s="9">
        <f>8.95*20/20</f>
        <v>8.9499999999999993</v>
      </c>
    </row>
    <row r="9" spans="1:10" x14ac:dyDescent="0.2">
      <c r="A9" s="6"/>
      <c r="B9" s="7" t="s">
        <v>17</v>
      </c>
      <c r="C9" s="48" t="s">
        <v>20</v>
      </c>
      <c r="D9" s="49" t="s">
        <v>24</v>
      </c>
      <c r="E9" s="40">
        <v>20</v>
      </c>
      <c r="F9" s="66">
        <f>74.8*0.02</f>
        <v>1.496</v>
      </c>
      <c r="G9" s="8">
        <f>41.6*20/20</f>
        <v>41.6</v>
      </c>
      <c r="H9" s="8">
        <f>1.6*20/20</f>
        <v>1.6</v>
      </c>
      <c r="I9" s="8">
        <f>0.03*28/20</f>
        <v>4.1999999999999996E-2</v>
      </c>
      <c r="J9" s="9">
        <f>8.02*28/20</f>
        <v>11.228</v>
      </c>
    </row>
    <row r="10" spans="1:10" x14ac:dyDescent="0.2">
      <c r="A10" s="6"/>
      <c r="B10" s="27" t="s">
        <v>39</v>
      </c>
      <c r="C10" s="74" t="s">
        <v>20</v>
      </c>
      <c r="D10" s="49" t="s">
        <v>56</v>
      </c>
      <c r="E10" s="40">
        <v>40</v>
      </c>
      <c r="F10" s="66">
        <f>243.6*0.04</f>
        <v>9.7439999999999998</v>
      </c>
      <c r="G10" s="8">
        <f>63.56*40/20</f>
        <v>127.12</v>
      </c>
      <c r="H10" s="8">
        <f>1.07*40/20</f>
        <v>2.14</v>
      </c>
      <c r="I10" s="8">
        <f>1.4*40/20</f>
        <v>2.8</v>
      </c>
      <c r="J10" s="9">
        <f>11.67*40/20</f>
        <v>23.34</v>
      </c>
    </row>
    <row r="11" spans="1:10" ht="15.75" thickBot="1" x14ac:dyDescent="0.25">
      <c r="A11" s="60"/>
      <c r="B11" s="100"/>
      <c r="C11" s="61"/>
      <c r="D11" s="62"/>
      <c r="E11" s="63"/>
      <c r="F11" s="70">
        <v>58.52</v>
      </c>
      <c r="G11" s="64">
        <f>SUM(G4:G10)</f>
        <v>656.94999999999993</v>
      </c>
      <c r="H11" s="64">
        <f>SUM(H4:H10)</f>
        <v>17.760000000000002</v>
      </c>
      <c r="I11" s="64">
        <f>SUM(I4:I10)</f>
        <v>27.582000000000004</v>
      </c>
      <c r="J11" s="64">
        <f>SUM(J4:J10)</f>
        <v>90.437999999999988</v>
      </c>
    </row>
    <row r="12" spans="1:10" x14ac:dyDescent="0.2">
      <c r="A12" s="2" t="s">
        <v>22</v>
      </c>
      <c r="B12" s="3" t="s">
        <v>63</v>
      </c>
      <c r="C12" s="50">
        <v>25</v>
      </c>
      <c r="D12" s="51" t="s">
        <v>31</v>
      </c>
      <c r="E12" s="41">
        <v>200</v>
      </c>
      <c r="F12" s="69">
        <v>13.4</v>
      </c>
      <c r="G12" s="4">
        <v>136</v>
      </c>
      <c r="H12" s="4">
        <v>0.6</v>
      </c>
      <c r="I12" s="4">
        <v>0</v>
      </c>
      <c r="J12" s="5">
        <v>33</v>
      </c>
    </row>
    <row r="13" spans="1:10" x14ac:dyDescent="0.2">
      <c r="A13" s="6"/>
      <c r="B13" s="10" t="s">
        <v>47</v>
      </c>
      <c r="C13" s="52">
        <v>56</v>
      </c>
      <c r="D13" s="53" t="s">
        <v>40</v>
      </c>
      <c r="E13" s="42" t="s">
        <v>45</v>
      </c>
      <c r="F13" s="66">
        <v>35</v>
      </c>
      <c r="G13" s="8">
        <f>245</f>
        <v>245</v>
      </c>
      <c r="H13" s="8">
        <f>12.45</f>
        <v>12.45</v>
      </c>
      <c r="I13" s="8">
        <f>8.59</f>
        <v>8.59</v>
      </c>
      <c r="J13" s="9">
        <f>6.33</f>
        <v>6.33</v>
      </c>
    </row>
    <row r="14" spans="1:10" ht="15.75" thickBot="1" x14ac:dyDescent="0.25">
      <c r="A14" s="56"/>
      <c r="B14" s="35"/>
      <c r="C14" s="57"/>
      <c r="D14" s="58"/>
      <c r="E14" s="59"/>
      <c r="F14" s="71">
        <v>43.9</v>
      </c>
      <c r="G14" s="67">
        <f>SUM(G12:G13)</f>
        <v>381</v>
      </c>
      <c r="H14" s="67">
        <f t="shared" ref="H14:J14" si="0">SUM(H12:H13)</f>
        <v>13.049999999999999</v>
      </c>
      <c r="I14" s="67">
        <f t="shared" si="0"/>
        <v>8.59</v>
      </c>
      <c r="J14" s="68">
        <f t="shared" si="0"/>
        <v>39.33</v>
      </c>
    </row>
    <row r="15" spans="1:10" x14ac:dyDescent="0.2">
      <c r="A15" s="2" t="s">
        <v>12</v>
      </c>
      <c r="B15" s="3" t="s">
        <v>13</v>
      </c>
      <c r="C15" s="50">
        <v>1</v>
      </c>
      <c r="D15" s="51" t="s">
        <v>49</v>
      </c>
      <c r="E15" s="39" t="s">
        <v>58</v>
      </c>
      <c r="F15" s="69">
        <f>20.52*60/60</f>
        <v>20.52</v>
      </c>
      <c r="G15" s="4">
        <v>24</v>
      </c>
      <c r="H15" s="4">
        <v>1.86</v>
      </c>
      <c r="I15" s="4">
        <v>0.12</v>
      </c>
      <c r="J15" s="5">
        <v>3.9</v>
      </c>
    </row>
    <row r="16" spans="1:10" ht="27.75" x14ac:dyDescent="0.2">
      <c r="A16" s="6"/>
      <c r="B16" s="7" t="s">
        <v>14</v>
      </c>
      <c r="C16" s="52">
        <v>40</v>
      </c>
      <c r="D16" s="53" t="s">
        <v>60</v>
      </c>
      <c r="E16" s="42" t="s">
        <v>61</v>
      </c>
      <c r="F16" s="66">
        <f>8.7*250/250</f>
        <v>8.6999999999999993</v>
      </c>
      <c r="G16" s="8">
        <v>132.5</v>
      </c>
      <c r="H16" s="8">
        <v>2.65</v>
      </c>
      <c r="I16" s="8">
        <v>2.78</v>
      </c>
      <c r="J16" s="9">
        <v>24.23</v>
      </c>
    </row>
    <row r="17" spans="1:10" x14ac:dyDescent="0.2">
      <c r="A17" s="6"/>
      <c r="B17" s="7" t="s">
        <v>15</v>
      </c>
      <c r="C17" s="52">
        <v>23</v>
      </c>
      <c r="D17" s="53" t="s">
        <v>41</v>
      </c>
      <c r="E17" s="42" t="s">
        <v>48</v>
      </c>
      <c r="F17" s="66">
        <v>37.35</v>
      </c>
      <c r="G17" s="8">
        <f>103</f>
        <v>103</v>
      </c>
      <c r="H17" s="8">
        <f>12.92</f>
        <v>12.92</v>
      </c>
      <c r="I17" s="8">
        <f>2.28</f>
        <v>2.2799999999999998</v>
      </c>
      <c r="J17" s="9">
        <f>8.31</f>
        <v>8.31</v>
      </c>
    </row>
    <row r="18" spans="1:10" ht="27.75" x14ac:dyDescent="0.2">
      <c r="A18" s="6"/>
      <c r="B18" s="7" t="s">
        <v>32</v>
      </c>
      <c r="C18" s="52">
        <v>45</v>
      </c>
      <c r="D18" s="53" t="s">
        <v>42</v>
      </c>
      <c r="E18" s="42" t="s">
        <v>33</v>
      </c>
      <c r="F18" s="66">
        <v>14.8</v>
      </c>
      <c r="G18" s="8">
        <v>204.3</v>
      </c>
      <c r="H18" s="8">
        <v>3.86</v>
      </c>
      <c r="I18" s="8">
        <v>6.06</v>
      </c>
      <c r="J18" s="9">
        <v>33.6</v>
      </c>
    </row>
    <row r="19" spans="1:10" x14ac:dyDescent="0.2">
      <c r="A19" s="6"/>
      <c r="B19" s="7" t="s">
        <v>23</v>
      </c>
      <c r="C19" s="52">
        <v>35</v>
      </c>
      <c r="D19" s="53" t="s">
        <v>43</v>
      </c>
      <c r="E19" s="42">
        <v>200</v>
      </c>
      <c r="F19" s="66">
        <v>6.59</v>
      </c>
      <c r="G19" s="8">
        <v>97</v>
      </c>
      <c r="H19" s="8">
        <v>0.68</v>
      </c>
      <c r="I19" s="8">
        <v>0.28000000000000003</v>
      </c>
      <c r="J19" s="9">
        <v>19.64</v>
      </c>
    </row>
    <row r="20" spans="1:10" x14ac:dyDescent="0.2">
      <c r="A20" s="6"/>
      <c r="B20" s="7" t="s">
        <v>17</v>
      </c>
      <c r="C20" s="52" t="s">
        <v>20</v>
      </c>
      <c r="D20" s="53" t="s">
        <v>24</v>
      </c>
      <c r="E20" s="42" t="s">
        <v>64</v>
      </c>
      <c r="F20" s="66">
        <f>74.8*0.03</f>
        <v>2.2439999999999998</v>
      </c>
      <c r="G20" s="8">
        <v>62.4</v>
      </c>
      <c r="H20" s="8">
        <v>2.4</v>
      </c>
      <c r="I20" s="8">
        <v>0.05</v>
      </c>
      <c r="J20" s="9">
        <v>12.03</v>
      </c>
    </row>
    <row r="21" spans="1:10" x14ac:dyDescent="0.2">
      <c r="A21" s="6"/>
      <c r="B21" s="14" t="s">
        <v>16</v>
      </c>
      <c r="C21" s="54" t="s">
        <v>20</v>
      </c>
      <c r="D21" s="55" t="s">
        <v>21</v>
      </c>
      <c r="E21" s="43" t="s">
        <v>64</v>
      </c>
      <c r="F21" s="72">
        <f>46.14*0.03</f>
        <v>1.3841999999999999</v>
      </c>
      <c r="G21" s="8">
        <v>60</v>
      </c>
      <c r="H21" s="8">
        <v>1.47</v>
      </c>
      <c r="I21" s="8">
        <v>0.3</v>
      </c>
      <c r="J21" s="9">
        <v>13.44</v>
      </c>
    </row>
    <row r="22" spans="1:10" ht="15.75" thickBot="1" x14ac:dyDescent="0.25">
      <c r="A22" s="34"/>
      <c r="B22" s="35"/>
      <c r="C22" s="36"/>
      <c r="D22" s="36"/>
      <c r="E22" s="45"/>
      <c r="F22" s="73">
        <v>87.79</v>
      </c>
      <c r="G22" s="37">
        <f>SUM(G15:G21)</f>
        <v>683.19999999999993</v>
      </c>
      <c r="H22" s="37">
        <f>SUM(H15:H21)</f>
        <v>25.839999999999996</v>
      </c>
      <c r="I22" s="37">
        <f>SUM(I15:I21)</f>
        <v>11.87</v>
      </c>
      <c r="J22" s="38">
        <f>SUM(J15:J21)</f>
        <v>115.14999999999999</v>
      </c>
    </row>
    <row r="23" spans="1:10" ht="15.75" thickBot="1" x14ac:dyDescent="0.25">
      <c r="B23" s="1" t="s">
        <v>27</v>
      </c>
      <c r="E23" s="44"/>
      <c r="F23" s="44"/>
    </row>
    <row r="24" spans="1:10" ht="28.5" thickBot="1" x14ac:dyDescent="0.25">
      <c r="A24" s="90" t="s">
        <v>1</v>
      </c>
      <c r="B24" s="91" t="s">
        <v>2</v>
      </c>
      <c r="C24" s="91" t="s">
        <v>18</v>
      </c>
      <c r="D24" s="91" t="s">
        <v>3</v>
      </c>
      <c r="E24" s="92" t="s">
        <v>19</v>
      </c>
      <c r="F24" s="92" t="s">
        <v>4</v>
      </c>
      <c r="G24" s="93" t="s">
        <v>5</v>
      </c>
      <c r="H24" s="91" t="s">
        <v>6</v>
      </c>
      <c r="I24" s="91" t="s">
        <v>7</v>
      </c>
      <c r="J24" s="94" t="s">
        <v>8</v>
      </c>
    </row>
    <row r="25" spans="1:10" ht="27.75" x14ac:dyDescent="0.2">
      <c r="A25" s="6" t="s">
        <v>9</v>
      </c>
      <c r="B25" s="89" t="s">
        <v>32</v>
      </c>
      <c r="C25" s="75">
        <v>37</v>
      </c>
      <c r="D25" s="76" t="s">
        <v>35</v>
      </c>
      <c r="E25" s="77" t="s">
        <v>34</v>
      </c>
      <c r="F25" s="78">
        <f>32.85*180/200</f>
        <v>29.565000000000001</v>
      </c>
      <c r="G25" s="13">
        <v>275</v>
      </c>
      <c r="H25" s="13">
        <v>12.1</v>
      </c>
      <c r="I25" s="13">
        <v>10.1</v>
      </c>
      <c r="J25" s="33">
        <v>34</v>
      </c>
    </row>
    <row r="26" spans="1:10" x14ac:dyDescent="0.2">
      <c r="A26" s="6"/>
      <c r="B26" s="86" t="s">
        <v>11</v>
      </c>
      <c r="C26" s="75">
        <v>20</v>
      </c>
      <c r="D26" s="76" t="s">
        <v>36</v>
      </c>
      <c r="E26" s="77" t="s">
        <v>44</v>
      </c>
      <c r="F26" s="78">
        <v>5.37</v>
      </c>
      <c r="G26" s="13">
        <v>70</v>
      </c>
      <c r="H26" s="13">
        <v>1.4</v>
      </c>
      <c r="I26" s="13">
        <v>1.6</v>
      </c>
      <c r="J26" s="33">
        <v>12.36</v>
      </c>
    </row>
    <row r="27" spans="1:10" x14ac:dyDescent="0.2">
      <c r="A27" s="6"/>
      <c r="B27" s="106" t="s">
        <v>39</v>
      </c>
      <c r="C27" s="48">
        <v>27</v>
      </c>
      <c r="D27" s="49" t="s">
        <v>37</v>
      </c>
      <c r="E27" s="40">
        <v>60</v>
      </c>
      <c r="F27" s="66">
        <f>19.2*60/100</f>
        <v>11.52</v>
      </c>
      <c r="G27" s="8">
        <f>71.4*85/60</f>
        <v>101.15000000000002</v>
      </c>
      <c r="H27" s="8">
        <f>1.14*85/60</f>
        <v>1.6149999999999998</v>
      </c>
      <c r="I27" s="8">
        <f>5.34*85/60</f>
        <v>7.5649999999999995</v>
      </c>
      <c r="J27" s="9">
        <f>4.62*85/60</f>
        <v>6.5449999999999999</v>
      </c>
    </row>
    <row r="28" spans="1:10" x14ac:dyDescent="0.2">
      <c r="A28" s="6"/>
      <c r="B28" s="107"/>
      <c r="C28" s="48">
        <v>3</v>
      </c>
      <c r="D28" s="49" t="s">
        <v>38</v>
      </c>
      <c r="E28" s="40">
        <v>10</v>
      </c>
      <c r="F28" s="66">
        <f>9.82*10/10</f>
        <v>9.82</v>
      </c>
      <c r="G28" s="8">
        <v>64.7</v>
      </c>
      <c r="H28" s="8">
        <v>0.08</v>
      </c>
      <c r="I28" s="8">
        <v>7.15</v>
      </c>
      <c r="J28" s="9">
        <v>0.12</v>
      </c>
    </row>
    <row r="29" spans="1:10" x14ac:dyDescent="0.2">
      <c r="A29" s="6"/>
      <c r="B29" s="14" t="s">
        <v>16</v>
      </c>
      <c r="C29" s="48" t="s">
        <v>20</v>
      </c>
      <c r="D29" s="49" t="s">
        <v>21</v>
      </c>
      <c r="E29" s="40">
        <v>30</v>
      </c>
      <c r="F29" s="66">
        <f>46.14*0.03</f>
        <v>1.3841999999999999</v>
      </c>
      <c r="G29" s="8">
        <v>60</v>
      </c>
      <c r="H29" s="8">
        <v>1.47</v>
      </c>
      <c r="I29" s="8">
        <v>0.3</v>
      </c>
      <c r="J29" s="9">
        <v>13.44</v>
      </c>
    </row>
    <row r="30" spans="1:10" x14ac:dyDescent="0.2">
      <c r="A30" s="6"/>
      <c r="B30" s="7" t="s">
        <v>17</v>
      </c>
      <c r="C30" s="48" t="s">
        <v>20</v>
      </c>
      <c r="D30" s="49" t="s">
        <v>24</v>
      </c>
      <c r="E30" s="40">
        <v>30</v>
      </c>
      <c r="F30" s="66">
        <f>68*0.03</f>
        <v>2.04</v>
      </c>
      <c r="G30" s="8">
        <v>62.4</v>
      </c>
      <c r="H30" s="8">
        <v>2.4</v>
      </c>
      <c r="I30" s="8">
        <v>0.05</v>
      </c>
      <c r="J30" s="9">
        <v>12.03</v>
      </c>
    </row>
    <row r="31" spans="1:10" x14ac:dyDescent="0.2">
      <c r="A31" s="6"/>
      <c r="B31" s="27" t="s">
        <v>39</v>
      </c>
      <c r="C31" s="74" t="s">
        <v>20</v>
      </c>
      <c r="D31" s="49" t="s">
        <v>56</v>
      </c>
      <c r="E31" s="40">
        <v>40</v>
      </c>
      <c r="F31" s="66">
        <f>243.6*0.04</f>
        <v>9.7439999999999998</v>
      </c>
      <c r="G31" s="8">
        <f>63.56*40/20</f>
        <v>127.12</v>
      </c>
      <c r="H31" s="8">
        <f>1.07*40/20</f>
        <v>2.14</v>
      </c>
      <c r="I31" s="8">
        <f>1.4*40/20</f>
        <v>2.8</v>
      </c>
      <c r="J31" s="9">
        <f>11.67*40/20</f>
        <v>23.34</v>
      </c>
    </row>
    <row r="32" spans="1:10" ht="15.75" thickBot="1" x14ac:dyDescent="0.25">
      <c r="A32" s="60"/>
      <c r="B32" s="100"/>
      <c r="C32" s="61"/>
      <c r="D32" s="62"/>
      <c r="E32" s="63"/>
      <c r="F32" s="70">
        <v>68.05</v>
      </c>
      <c r="G32" s="64">
        <f>SUM(G25:G31)</f>
        <v>760.37</v>
      </c>
      <c r="H32" s="64">
        <f>SUM(H25:H31)</f>
        <v>21.204999999999998</v>
      </c>
      <c r="I32" s="64">
        <f>SUM(I25:I31)</f>
        <v>29.565000000000001</v>
      </c>
      <c r="J32" s="64">
        <f>SUM(J25:J31)</f>
        <v>101.83500000000001</v>
      </c>
    </row>
    <row r="33" spans="1:13" x14ac:dyDescent="0.2">
      <c r="A33" s="2" t="s">
        <v>22</v>
      </c>
      <c r="B33" s="3" t="s">
        <v>63</v>
      </c>
      <c r="C33" s="50">
        <v>25</v>
      </c>
      <c r="D33" s="51" t="s">
        <v>31</v>
      </c>
      <c r="E33" s="41">
        <v>200</v>
      </c>
      <c r="F33" s="69">
        <v>13.4</v>
      </c>
      <c r="G33" s="4">
        <v>136</v>
      </c>
      <c r="H33" s="4">
        <v>0.6</v>
      </c>
      <c r="I33" s="4">
        <v>0</v>
      </c>
      <c r="J33" s="5">
        <v>33</v>
      </c>
    </row>
    <row r="34" spans="1:13" x14ac:dyDescent="0.2">
      <c r="A34" s="6"/>
      <c r="B34" s="10" t="s">
        <v>47</v>
      </c>
      <c r="C34" s="52">
        <v>56</v>
      </c>
      <c r="D34" s="53" t="s">
        <v>40</v>
      </c>
      <c r="E34" s="42" t="s">
        <v>33</v>
      </c>
      <c r="F34" s="66">
        <f>35*150/100</f>
        <v>52.5</v>
      </c>
      <c r="G34" s="8">
        <f>245*150/100</f>
        <v>367.5</v>
      </c>
      <c r="H34" s="8">
        <f>12.45*110/100</f>
        <v>13.695</v>
      </c>
      <c r="I34" s="8">
        <f>8.59*110/100</f>
        <v>9.4489999999999998</v>
      </c>
      <c r="J34" s="9">
        <f>6.33*110/100</f>
        <v>6.9629999999999992</v>
      </c>
    </row>
    <row r="35" spans="1:13" ht="15.75" thickBot="1" x14ac:dyDescent="0.25">
      <c r="A35" s="56"/>
      <c r="B35" s="35"/>
      <c r="C35" s="57"/>
      <c r="D35" s="58"/>
      <c r="E35" s="59"/>
      <c r="F35" s="71">
        <v>51.02</v>
      </c>
      <c r="G35" s="67">
        <f>SUM(G33:G34)</f>
        <v>503.5</v>
      </c>
      <c r="H35" s="67">
        <f t="shared" ref="H35:J35" si="1">SUM(H33:H34)</f>
        <v>14.295</v>
      </c>
      <c r="I35" s="67">
        <f t="shared" si="1"/>
        <v>9.4489999999999998</v>
      </c>
      <c r="J35" s="68">
        <f t="shared" si="1"/>
        <v>39.963000000000001</v>
      </c>
    </row>
    <row r="36" spans="1:13" x14ac:dyDescent="0.2">
      <c r="A36" s="2" t="s">
        <v>12</v>
      </c>
      <c r="B36" s="3" t="s">
        <v>13</v>
      </c>
      <c r="C36" s="50">
        <v>1</v>
      </c>
      <c r="D36" s="51" t="s">
        <v>49</v>
      </c>
      <c r="E36" s="39" t="s">
        <v>58</v>
      </c>
      <c r="F36" s="69">
        <f>34.2*60/100</f>
        <v>20.52</v>
      </c>
      <c r="G36" s="4">
        <v>40</v>
      </c>
      <c r="H36" s="4">
        <v>3.1</v>
      </c>
      <c r="I36" s="4">
        <v>0.2</v>
      </c>
      <c r="J36" s="5">
        <v>6.5</v>
      </c>
    </row>
    <row r="37" spans="1:13" ht="27.75" x14ac:dyDescent="0.2">
      <c r="A37" s="6"/>
      <c r="B37" s="7" t="s">
        <v>14</v>
      </c>
      <c r="C37" s="52">
        <v>40</v>
      </c>
      <c r="D37" s="53" t="s">
        <v>60</v>
      </c>
      <c r="E37" s="42" t="s">
        <v>61</v>
      </c>
      <c r="F37" s="66">
        <f>8.7*250/250</f>
        <v>8.6999999999999993</v>
      </c>
      <c r="G37" s="8">
        <v>132.5</v>
      </c>
      <c r="H37" s="8">
        <v>2.65</v>
      </c>
      <c r="I37" s="8">
        <v>2.78</v>
      </c>
      <c r="J37" s="9">
        <v>24.23</v>
      </c>
      <c r="M37" t="s">
        <v>46</v>
      </c>
    </row>
    <row r="38" spans="1:13" x14ac:dyDescent="0.2">
      <c r="A38" s="6"/>
      <c r="B38" s="7" t="s">
        <v>15</v>
      </c>
      <c r="C38" s="52">
        <v>23</v>
      </c>
      <c r="D38" s="53" t="s">
        <v>41</v>
      </c>
      <c r="E38" s="42" t="s">
        <v>62</v>
      </c>
      <c r="F38" s="66">
        <f>50.18*120/120</f>
        <v>50.18</v>
      </c>
      <c r="G38" s="8">
        <v>137.33000000000001</v>
      </c>
      <c r="H38" s="8">
        <v>17.23</v>
      </c>
      <c r="I38" s="8">
        <v>3.04</v>
      </c>
      <c r="J38" s="9">
        <v>11.08</v>
      </c>
    </row>
    <row r="39" spans="1:13" ht="27.75" x14ac:dyDescent="0.2">
      <c r="A39" s="6"/>
      <c r="B39" s="7" t="s">
        <v>32</v>
      </c>
      <c r="C39" s="52">
        <v>45</v>
      </c>
      <c r="D39" s="53" t="s">
        <v>42</v>
      </c>
      <c r="E39" s="42" t="s">
        <v>34</v>
      </c>
      <c r="F39" s="66">
        <f>17.46*180/180</f>
        <v>17.46</v>
      </c>
      <c r="G39" s="8">
        <v>245.16</v>
      </c>
      <c r="H39" s="8">
        <v>4.63</v>
      </c>
      <c r="I39" s="8">
        <v>7.27</v>
      </c>
      <c r="J39" s="9">
        <v>40.32</v>
      </c>
    </row>
    <row r="40" spans="1:13" x14ac:dyDescent="0.2">
      <c r="A40" s="6"/>
      <c r="B40" s="7" t="s">
        <v>23</v>
      </c>
      <c r="C40" s="52">
        <v>35</v>
      </c>
      <c r="D40" s="53" t="s">
        <v>43</v>
      </c>
      <c r="E40" s="42">
        <v>200</v>
      </c>
      <c r="F40" s="66">
        <v>6.59</v>
      </c>
      <c r="G40" s="8">
        <v>97</v>
      </c>
      <c r="H40" s="8">
        <v>0.68</v>
      </c>
      <c r="I40" s="8">
        <v>0.28000000000000003</v>
      </c>
      <c r="J40" s="9">
        <v>19.64</v>
      </c>
    </row>
    <row r="41" spans="1:13" x14ac:dyDescent="0.2">
      <c r="A41" s="6"/>
      <c r="B41" s="7" t="s">
        <v>17</v>
      </c>
      <c r="C41" s="52" t="s">
        <v>20</v>
      </c>
      <c r="D41" s="53" t="s">
        <v>24</v>
      </c>
      <c r="E41" s="42" t="s">
        <v>57</v>
      </c>
      <c r="F41" s="66">
        <f>68*0.04</f>
        <v>2.72</v>
      </c>
      <c r="G41" s="8">
        <v>83.2</v>
      </c>
      <c r="H41" s="8">
        <v>3.2</v>
      </c>
      <c r="I41" s="8">
        <v>0.06</v>
      </c>
      <c r="J41" s="9">
        <v>16.04</v>
      </c>
    </row>
    <row r="42" spans="1:13" x14ac:dyDescent="0.2">
      <c r="A42" s="6"/>
      <c r="B42" s="14" t="s">
        <v>16</v>
      </c>
      <c r="C42" s="54" t="s">
        <v>20</v>
      </c>
      <c r="D42" s="55" t="s">
        <v>21</v>
      </c>
      <c r="E42" s="43" t="s">
        <v>57</v>
      </c>
      <c r="F42" s="72">
        <f>46.14*0.04</f>
        <v>1.8456000000000001</v>
      </c>
      <c r="G42" s="11">
        <v>80</v>
      </c>
      <c r="H42" s="11">
        <v>1.96</v>
      </c>
      <c r="I42" s="11">
        <v>0.4</v>
      </c>
      <c r="J42" s="12">
        <v>17.920000000000002</v>
      </c>
    </row>
    <row r="43" spans="1:13" s="19" customFormat="1" ht="15.75" thickBot="1" x14ac:dyDescent="0.25">
      <c r="A43" s="34"/>
      <c r="B43" s="35"/>
      <c r="C43" s="36"/>
      <c r="D43" s="36"/>
      <c r="E43" s="45"/>
      <c r="F43" s="73">
        <v>102.06</v>
      </c>
      <c r="G43" s="37">
        <f>SUM(G36:G42)</f>
        <v>815.19</v>
      </c>
      <c r="H43" s="37">
        <f>SUM(H36:H42)</f>
        <v>33.449999999999996</v>
      </c>
      <c r="I43" s="37">
        <f>SUM(I36:I42)</f>
        <v>14.03</v>
      </c>
      <c r="J43" s="38">
        <f>SUM(J36:J42)</f>
        <v>135.73000000000002</v>
      </c>
    </row>
    <row r="45" spans="1:13" x14ac:dyDescent="0.2">
      <c r="A45" s="18" t="s">
        <v>28</v>
      </c>
    </row>
    <row r="47" spans="1:13" x14ac:dyDescent="0.2">
      <c r="A47" s="18" t="s">
        <v>29</v>
      </c>
    </row>
  </sheetData>
  <mergeCells count="3">
    <mergeCell ref="B1:D1"/>
    <mergeCell ref="B6:B7"/>
    <mergeCell ref="B27:B28"/>
  </mergeCells>
  <pageMargins left="0.23622047244094491" right="0.23622047244094491" top="0.15748031496062992" bottom="0.15748031496062992" header="0.11811023622047245" footer="0.11811023622047245"/>
  <pageSetup paperSize="9" scale="77" orientation="portrait" r:id="rId1"/>
  <ignoredErrors>
    <ignoredError sqref="F10:G10 F7 G35 F15" unlockedFormula="1"/>
    <ignoredError sqref="E3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8"/>
  <sheetViews>
    <sheetView topLeftCell="D1" workbookViewId="0">
      <selection activeCell="H1" sqref="H1:H1048576"/>
    </sheetView>
  </sheetViews>
  <sheetFormatPr defaultColWidth="8.875" defaultRowHeight="15" x14ac:dyDescent="0.2"/>
  <cols>
    <col min="1" max="1" width="11.8359375" style="19" bestFit="1" customWidth="1"/>
    <col min="2" max="2" width="11.56640625" style="19" customWidth="1"/>
    <col min="3" max="3" width="7.12890625" style="19" bestFit="1" customWidth="1"/>
    <col min="4" max="4" width="24.6171875" style="19" bestFit="1" customWidth="1"/>
    <col min="5" max="5" width="8.0703125" style="20" bestFit="1" customWidth="1"/>
    <col min="6" max="6" width="7.12890625" style="20" bestFit="1" customWidth="1"/>
    <col min="7" max="7" width="7.6640625" style="19" customWidth="1"/>
    <col min="8" max="8" width="10.22265625" style="19" bestFit="1" customWidth="1"/>
    <col min="9" max="9" width="6.58984375" style="19" customWidth="1"/>
    <col min="10" max="10" width="10.0859375" style="19" bestFit="1" customWidth="1"/>
    <col min="11" max="16384" width="8.875" style="19"/>
  </cols>
  <sheetData>
    <row r="1" spans="1:10" ht="28.9" customHeight="1" x14ac:dyDescent="0.2">
      <c r="A1" s="19" t="s">
        <v>0</v>
      </c>
      <c r="B1" s="103" t="s">
        <v>66</v>
      </c>
      <c r="C1" s="104"/>
      <c r="D1" s="105"/>
      <c r="E1" s="20" t="s">
        <v>26</v>
      </c>
      <c r="F1" s="21"/>
      <c r="H1" s="80">
        <v>45068</v>
      </c>
      <c r="I1" s="22"/>
      <c r="J1" s="80"/>
    </row>
    <row r="2" spans="1:10" ht="15.75" thickBot="1" x14ac:dyDescent="0.25">
      <c r="B2" s="23" t="s">
        <v>30</v>
      </c>
    </row>
    <row r="3" spans="1:10" s="24" customFormat="1" ht="28.5" thickBot="1" x14ac:dyDescent="0.25">
      <c r="A3" s="95" t="s">
        <v>1</v>
      </c>
      <c r="B3" s="96" t="s">
        <v>2</v>
      </c>
      <c r="C3" s="96" t="s">
        <v>18</v>
      </c>
      <c r="D3" s="96" t="s">
        <v>3</v>
      </c>
      <c r="E3" s="97" t="s">
        <v>19</v>
      </c>
      <c r="F3" s="97" t="s">
        <v>4</v>
      </c>
      <c r="G3" s="98" t="s">
        <v>5</v>
      </c>
      <c r="H3" s="96" t="s">
        <v>6</v>
      </c>
      <c r="I3" s="96" t="s">
        <v>7</v>
      </c>
      <c r="J3" s="99" t="s">
        <v>8</v>
      </c>
    </row>
    <row r="4" spans="1:10" s="24" customFormat="1" ht="27.75" x14ac:dyDescent="0.2">
      <c r="A4" s="2" t="s">
        <v>9</v>
      </c>
      <c r="B4" s="101" t="s">
        <v>10</v>
      </c>
      <c r="C4" s="46">
        <v>37</v>
      </c>
      <c r="D4" s="47" t="s">
        <v>35</v>
      </c>
      <c r="E4" s="39" t="s">
        <v>59</v>
      </c>
      <c r="F4" s="69">
        <f>34.31*170/160</f>
        <v>36.454375000000006</v>
      </c>
      <c r="G4" s="4">
        <v>242.13</v>
      </c>
      <c r="H4" s="4">
        <v>10.42</v>
      </c>
      <c r="I4" s="4">
        <v>10.37</v>
      </c>
      <c r="J4" s="5">
        <v>29.82</v>
      </c>
    </row>
    <row r="5" spans="1:10" ht="16.149999999999999" customHeight="1" x14ac:dyDescent="0.2">
      <c r="A5" s="6"/>
      <c r="B5" s="86" t="s">
        <v>11</v>
      </c>
      <c r="C5" s="75">
        <v>20</v>
      </c>
      <c r="D5" s="76" t="s">
        <v>36</v>
      </c>
      <c r="E5" s="77" t="s">
        <v>44</v>
      </c>
      <c r="F5" s="78">
        <v>5.65</v>
      </c>
      <c r="G5" s="13">
        <v>70</v>
      </c>
      <c r="H5" s="13">
        <v>1.4</v>
      </c>
      <c r="I5" s="13">
        <v>1.6</v>
      </c>
      <c r="J5" s="33">
        <v>12.36</v>
      </c>
    </row>
    <row r="6" spans="1:10" x14ac:dyDescent="0.2">
      <c r="A6" s="6"/>
      <c r="B6" s="106" t="s">
        <v>39</v>
      </c>
      <c r="C6" s="48">
        <v>27</v>
      </c>
      <c r="D6" s="49" t="s">
        <v>37</v>
      </c>
      <c r="E6" s="40">
        <v>50</v>
      </c>
      <c r="F6" s="66">
        <f>15.32*50/60</f>
        <v>12.766666666666667</v>
      </c>
      <c r="G6" s="8">
        <v>71.400000000000006</v>
      </c>
      <c r="H6" s="8">
        <v>1.1399999999999999</v>
      </c>
      <c r="I6" s="8">
        <v>5.34</v>
      </c>
      <c r="J6" s="9">
        <v>4.62</v>
      </c>
    </row>
    <row r="7" spans="1:10" ht="14.45" customHeight="1" x14ac:dyDescent="0.2">
      <c r="A7" s="6"/>
      <c r="B7" s="107"/>
      <c r="C7" s="48">
        <v>3</v>
      </c>
      <c r="D7" s="49" t="s">
        <v>38</v>
      </c>
      <c r="E7" s="40">
        <v>10</v>
      </c>
      <c r="F7" s="66">
        <f>13.06*10/10</f>
        <v>13.059999999999999</v>
      </c>
      <c r="G7" s="8">
        <f>64.7</f>
        <v>64.7</v>
      </c>
      <c r="H7" s="8">
        <f>0.08</f>
        <v>0.08</v>
      </c>
      <c r="I7" s="8">
        <f>7.15</f>
        <v>7.15</v>
      </c>
      <c r="J7" s="9">
        <f>0.12</f>
        <v>0.12</v>
      </c>
    </row>
    <row r="8" spans="1:10" x14ac:dyDescent="0.2">
      <c r="A8" s="6"/>
      <c r="B8" s="14" t="s">
        <v>16</v>
      </c>
      <c r="C8" s="48" t="s">
        <v>20</v>
      </c>
      <c r="D8" s="49" t="s">
        <v>21</v>
      </c>
      <c r="E8" s="40">
        <v>24</v>
      </c>
      <c r="F8" s="66">
        <v>1.42</v>
      </c>
      <c r="G8" s="11">
        <f>60*24/30</f>
        <v>48</v>
      </c>
      <c r="H8" s="11">
        <f>1.47*24/30</f>
        <v>1.1759999999999999</v>
      </c>
      <c r="I8" s="11">
        <f>0.3*24/30</f>
        <v>0.23999999999999996</v>
      </c>
      <c r="J8" s="12">
        <f>13.44*24/30</f>
        <v>10.752000000000001</v>
      </c>
    </row>
    <row r="9" spans="1:10" x14ac:dyDescent="0.2">
      <c r="A9" s="6"/>
      <c r="B9" s="7" t="s">
        <v>17</v>
      </c>
      <c r="C9" s="48" t="s">
        <v>20</v>
      </c>
      <c r="D9" s="49" t="s">
        <v>24</v>
      </c>
      <c r="E9" s="40">
        <v>25</v>
      </c>
      <c r="F9" s="66">
        <v>2.17</v>
      </c>
      <c r="G9" s="8">
        <f>62.4*25/30</f>
        <v>52</v>
      </c>
      <c r="H9" s="8">
        <f>2.4*25/30</f>
        <v>2</v>
      </c>
      <c r="I9" s="8">
        <f>0.45*25/30</f>
        <v>0.375</v>
      </c>
      <c r="J9" s="9">
        <f>11.37*25/30</f>
        <v>9.4749999999999996</v>
      </c>
    </row>
    <row r="10" spans="1:10" x14ac:dyDescent="0.2">
      <c r="A10" s="6"/>
      <c r="B10" s="86" t="s">
        <v>39</v>
      </c>
      <c r="C10" s="74" t="s">
        <v>20</v>
      </c>
      <c r="D10" s="49" t="s">
        <v>56</v>
      </c>
      <c r="E10" s="40">
        <v>20</v>
      </c>
      <c r="F10" s="66">
        <f>243.6*0.02*1.33</f>
        <v>6.4797600000000006</v>
      </c>
      <c r="G10" s="8">
        <f>63.56*40/20</f>
        <v>127.12</v>
      </c>
      <c r="H10" s="8">
        <f>1.07*40/20</f>
        <v>2.14</v>
      </c>
      <c r="I10" s="8">
        <f>1.4*40/20</f>
        <v>2.8</v>
      </c>
      <c r="J10" s="9">
        <f>11.67*40/20</f>
        <v>23.34</v>
      </c>
    </row>
    <row r="11" spans="1:10" ht="15.75" thickBot="1" x14ac:dyDescent="0.25">
      <c r="A11" s="60"/>
      <c r="B11" s="102"/>
      <c r="C11" s="61"/>
      <c r="D11" s="62"/>
      <c r="E11" s="63"/>
      <c r="F11" s="70">
        <f>SUM(F4:F10)</f>
        <v>78.000801666666675</v>
      </c>
      <c r="G11" s="64">
        <f>SUM(G4:G10)</f>
        <v>675.35</v>
      </c>
      <c r="H11" s="64">
        <f>SUM(H4:H10)</f>
        <v>18.356000000000002</v>
      </c>
      <c r="I11" s="64">
        <f>SUM(I4:I10)</f>
        <v>27.875</v>
      </c>
      <c r="J11" s="88">
        <f>SUM(J4:J10)</f>
        <v>90.486999999999995</v>
      </c>
    </row>
    <row r="12" spans="1:10" ht="27.75" x14ac:dyDescent="0.2">
      <c r="A12" s="6"/>
      <c r="B12" s="89" t="s">
        <v>52</v>
      </c>
      <c r="C12" s="75">
        <v>11</v>
      </c>
      <c r="D12" s="76" t="s">
        <v>50</v>
      </c>
      <c r="E12" s="77" t="s">
        <v>59</v>
      </c>
      <c r="F12" s="78">
        <f>12.95*170/150</f>
        <v>14.676666666666666</v>
      </c>
      <c r="G12" s="13">
        <v>173.88</v>
      </c>
      <c r="H12" s="13">
        <v>6.79</v>
      </c>
      <c r="I12" s="13">
        <v>8.1</v>
      </c>
      <c r="J12" s="33">
        <v>34.85</v>
      </c>
    </row>
    <row r="13" spans="1:10" x14ac:dyDescent="0.2">
      <c r="A13" s="26"/>
      <c r="B13" s="86" t="s">
        <v>23</v>
      </c>
      <c r="C13" s="52">
        <v>35</v>
      </c>
      <c r="D13" s="53" t="s">
        <v>43</v>
      </c>
      <c r="E13" s="42">
        <v>200</v>
      </c>
      <c r="F13" s="66">
        <v>8.77</v>
      </c>
      <c r="G13" s="8">
        <v>97</v>
      </c>
      <c r="H13" s="8">
        <v>0.68</v>
      </c>
      <c r="I13" s="8">
        <v>0.28000000000000003</v>
      </c>
      <c r="J13" s="9">
        <v>19.64</v>
      </c>
    </row>
    <row r="14" spans="1:10" x14ac:dyDescent="0.2">
      <c r="A14" s="26"/>
      <c r="B14" s="27" t="s">
        <v>51</v>
      </c>
      <c r="C14" s="48">
        <v>58</v>
      </c>
      <c r="D14" s="49" t="s">
        <v>53</v>
      </c>
      <c r="E14" s="40">
        <v>90</v>
      </c>
      <c r="F14" s="66">
        <f>63.82*90/90</f>
        <v>63.82</v>
      </c>
      <c r="G14" s="8">
        <f>71.4*75/60</f>
        <v>89.25</v>
      </c>
      <c r="H14" s="8">
        <f>1.14*75/60</f>
        <v>1.4249999999999998</v>
      </c>
      <c r="I14" s="8">
        <f>5.34*75/60</f>
        <v>6.6749999999999998</v>
      </c>
      <c r="J14" s="9">
        <f>4.62*75/60</f>
        <v>5.7750000000000004</v>
      </c>
    </row>
    <row r="15" spans="1:10" ht="14.45" customHeight="1" x14ac:dyDescent="0.2">
      <c r="A15" s="26"/>
      <c r="B15" s="27" t="s">
        <v>47</v>
      </c>
      <c r="C15" s="48">
        <v>15</v>
      </c>
      <c r="D15" s="49" t="s">
        <v>54</v>
      </c>
      <c r="E15" s="40">
        <v>20</v>
      </c>
      <c r="F15" s="66">
        <f>3.99*20/25</f>
        <v>3.1920000000000006</v>
      </c>
      <c r="G15" s="8">
        <f>64.7*15/10</f>
        <v>97.05</v>
      </c>
      <c r="H15" s="8">
        <f>0.08*15/10</f>
        <v>0.12</v>
      </c>
      <c r="I15" s="8">
        <f>7.15*15/10</f>
        <v>10.725</v>
      </c>
      <c r="J15" s="9">
        <f>0.12*15/10</f>
        <v>0.18</v>
      </c>
    </row>
    <row r="16" spans="1:10" x14ac:dyDescent="0.2">
      <c r="A16" s="26"/>
      <c r="B16" s="7" t="s">
        <v>17</v>
      </c>
      <c r="C16" s="48" t="s">
        <v>20</v>
      </c>
      <c r="D16" s="49" t="s">
        <v>24</v>
      </c>
      <c r="E16" s="40">
        <v>21</v>
      </c>
      <c r="F16" s="66">
        <f>89.76*0.021</f>
        <v>1.8849600000000002</v>
      </c>
      <c r="G16" s="8">
        <f>41.6*21/20</f>
        <v>43.68</v>
      </c>
      <c r="H16" s="8">
        <f>1.6*21/20</f>
        <v>1.6800000000000002</v>
      </c>
      <c r="I16" s="8">
        <f>0.03*21/20</f>
        <v>3.15E-2</v>
      </c>
      <c r="J16" s="9">
        <f>8.02*21/20</f>
        <v>8.4209999999999994</v>
      </c>
    </row>
    <row r="17" spans="1:10" x14ac:dyDescent="0.2">
      <c r="A17" s="26"/>
      <c r="B17" s="14" t="s">
        <v>16</v>
      </c>
      <c r="C17" s="48" t="s">
        <v>20</v>
      </c>
      <c r="D17" s="49" t="s">
        <v>21</v>
      </c>
      <c r="E17" s="40">
        <v>20</v>
      </c>
      <c r="F17" s="66">
        <f>60.86*0.02</f>
        <v>1.2172000000000001</v>
      </c>
      <c r="G17" s="8">
        <v>40</v>
      </c>
      <c r="H17" s="8">
        <v>0.98</v>
      </c>
      <c r="I17" s="8">
        <v>0.2</v>
      </c>
      <c r="J17" s="9">
        <v>8.9499999999999993</v>
      </c>
    </row>
    <row r="18" spans="1:10" x14ac:dyDescent="0.2">
      <c r="A18" s="26"/>
      <c r="B18" s="86" t="s">
        <v>39</v>
      </c>
      <c r="C18" s="74" t="s">
        <v>20</v>
      </c>
      <c r="D18" s="49" t="s">
        <v>56</v>
      </c>
      <c r="E18" s="40">
        <v>20</v>
      </c>
      <c r="F18" s="66">
        <f>243.6*0.02*1.33</f>
        <v>6.4797600000000006</v>
      </c>
      <c r="G18" s="8">
        <f>63.56*40/20</f>
        <v>127.12</v>
      </c>
      <c r="H18" s="8">
        <f>1.07*40/20</f>
        <v>2.14</v>
      </c>
      <c r="I18" s="8">
        <f>1.4*40/20</f>
        <v>2.8</v>
      </c>
      <c r="J18" s="9">
        <f>11.67*40/20</f>
        <v>23.34</v>
      </c>
    </row>
    <row r="19" spans="1:10" ht="15.75" thickBot="1" x14ac:dyDescent="0.25">
      <c r="A19" s="87"/>
      <c r="B19" s="81"/>
      <c r="C19" s="27"/>
      <c r="D19" s="27"/>
      <c r="E19" s="82"/>
      <c r="F19" s="83">
        <v>100</v>
      </c>
      <c r="G19" s="84">
        <f>SUM(G12:G18)</f>
        <v>667.98</v>
      </c>
      <c r="H19" s="84">
        <f>SUM(H12:H18)</f>
        <v>13.815</v>
      </c>
      <c r="I19" s="84">
        <f>SUM(I12:I18)</f>
        <v>28.811500000000002</v>
      </c>
      <c r="J19" s="85">
        <f>SUM(J12:J18)</f>
        <v>101.15600000000001</v>
      </c>
    </row>
    <row r="20" spans="1:10" ht="41.25" x14ac:dyDescent="0.2">
      <c r="A20" s="25"/>
      <c r="B20" s="3" t="s">
        <v>14</v>
      </c>
      <c r="C20" s="50">
        <v>40</v>
      </c>
      <c r="D20" s="51" t="s">
        <v>55</v>
      </c>
      <c r="E20" s="39" t="s">
        <v>65</v>
      </c>
      <c r="F20" s="69">
        <f>11.57*245/250+4.64*0.5</f>
        <v>13.6586</v>
      </c>
      <c r="G20" s="4">
        <v>123</v>
      </c>
      <c r="H20" s="4">
        <v>2.23</v>
      </c>
      <c r="I20" s="4">
        <v>5.0599999999999996</v>
      </c>
      <c r="J20" s="5">
        <v>13.48</v>
      </c>
    </row>
    <row r="21" spans="1:10" ht="27.75" x14ac:dyDescent="0.2">
      <c r="A21" s="26"/>
      <c r="B21" s="7" t="s">
        <v>52</v>
      </c>
      <c r="C21" s="48">
        <v>11</v>
      </c>
      <c r="D21" s="49" t="s">
        <v>50</v>
      </c>
      <c r="E21" s="42" t="s">
        <v>34</v>
      </c>
      <c r="F21" s="66">
        <f>12.95*180/150</f>
        <v>15.54</v>
      </c>
      <c r="G21" s="8">
        <v>173.88</v>
      </c>
      <c r="H21" s="8">
        <v>6.79</v>
      </c>
      <c r="I21" s="8">
        <v>8.1</v>
      </c>
      <c r="J21" s="9">
        <v>34.85</v>
      </c>
    </row>
    <row r="22" spans="1:10" x14ac:dyDescent="0.2">
      <c r="A22" s="26"/>
      <c r="B22" s="86" t="s">
        <v>11</v>
      </c>
      <c r="C22" s="52">
        <v>35</v>
      </c>
      <c r="D22" s="53" t="s">
        <v>43</v>
      </c>
      <c r="E22" s="42">
        <v>200</v>
      </c>
      <c r="F22" s="66">
        <v>8.77</v>
      </c>
      <c r="G22" s="8">
        <v>97</v>
      </c>
      <c r="H22" s="8">
        <v>0.68</v>
      </c>
      <c r="I22" s="8">
        <v>0.28000000000000003</v>
      </c>
      <c r="J22" s="9">
        <v>19.64</v>
      </c>
    </row>
    <row r="23" spans="1:10" x14ac:dyDescent="0.2">
      <c r="A23" s="26"/>
      <c r="B23" s="86" t="s">
        <v>51</v>
      </c>
      <c r="C23" s="48">
        <v>58</v>
      </c>
      <c r="D23" s="49" t="s">
        <v>53</v>
      </c>
      <c r="E23" s="40">
        <v>100</v>
      </c>
      <c r="F23" s="66">
        <f>71.53*100/100</f>
        <v>71.53</v>
      </c>
      <c r="G23" s="8">
        <v>286</v>
      </c>
      <c r="H23" s="8">
        <v>17.8</v>
      </c>
      <c r="I23" s="8">
        <v>17.5</v>
      </c>
      <c r="J23" s="9">
        <v>14.3</v>
      </c>
    </row>
    <row r="24" spans="1:10" ht="13.9" customHeight="1" x14ac:dyDescent="0.2">
      <c r="A24" s="26"/>
      <c r="B24" s="86" t="s">
        <v>47</v>
      </c>
      <c r="C24" s="48">
        <v>15</v>
      </c>
      <c r="D24" s="49" t="s">
        <v>54</v>
      </c>
      <c r="E24" s="40">
        <v>30</v>
      </c>
      <c r="F24" s="66">
        <f>3.99*30/25</f>
        <v>4.7880000000000003</v>
      </c>
      <c r="G24" s="8">
        <f>64.7*15/10</f>
        <v>97.05</v>
      </c>
      <c r="H24" s="8">
        <f>0.08*15/10</f>
        <v>0.12</v>
      </c>
      <c r="I24" s="8">
        <f>7.15*15/10</f>
        <v>10.725</v>
      </c>
      <c r="J24" s="9">
        <f>0.12*15/10</f>
        <v>0.18</v>
      </c>
    </row>
    <row r="25" spans="1:10" x14ac:dyDescent="0.2">
      <c r="A25" s="26"/>
      <c r="B25" s="7" t="s">
        <v>17</v>
      </c>
      <c r="C25" s="75" t="s">
        <v>20</v>
      </c>
      <c r="D25" s="76" t="s">
        <v>24</v>
      </c>
      <c r="E25" s="40">
        <v>29</v>
      </c>
      <c r="F25" s="66">
        <v>2.5299999999999998</v>
      </c>
      <c r="G25" s="8">
        <f>62.4*29/30</f>
        <v>60.32</v>
      </c>
      <c r="H25" s="8">
        <f>2.4*29/30</f>
        <v>2.3199999999999998</v>
      </c>
      <c r="I25" s="8">
        <f>0.45*29/30</f>
        <v>0.435</v>
      </c>
      <c r="J25" s="9">
        <f>11.37*29/30</f>
        <v>10.990999999999998</v>
      </c>
    </row>
    <row r="26" spans="1:10" x14ac:dyDescent="0.2">
      <c r="A26" s="26"/>
      <c r="B26" s="14" t="s">
        <v>16</v>
      </c>
      <c r="C26" s="48" t="s">
        <v>20</v>
      </c>
      <c r="D26" s="49" t="s">
        <v>21</v>
      </c>
      <c r="E26" s="40">
        <v>28</v>
      </c>
      <c r="F26" s="66">
        <f>60.86*0.028</f>
        <v>1.70408</v>
      </c>
      <c r="G26" s="11">
        <f>60*28/30</f>
        <v>56</v>
      </c>
      <c r="H26" s="11">
        <f>1.47*28/30</f>
        <v>1.3719999999999999</v>
      </c>
      <c r="I26" s="11">
        <f>0.3*28/30</f>
        <v>0.28000000000000003</v>
      </c>
      <c r="J26" s="12">
        <f>13.44*28/30</f>
        <v>12.544</v>
      </c>
    </row>
    <row r="27" spans="1:10" x14ac:dyDescent="0.2">
      <c r="A27" s="26"/>
      <c r="B27" s="27" t="s">
        <v>47</v>
      </c>
      <c r="C27" s="48" t="s">
        <v>20</v>
      </c>
      <c r="D27" s="49" t="s">
        <v>56</v>
      </c>
      <c r="E27" s="40">
        <v>20</v>
      </c>
      <c r="F27" s="66">
        <f>243.6*0.02*1.33</f>
        <v>6.4797600000000006</v>
      </c>
      <c r="G27" s="8">
        <f>63.56*20/20</f>
        <v>63.56</v>
      </c>
      <c r="H27" s="8">
        <f>1.07*20/20</f>
        <v>1.07</v>
      </c>
      <c r="I27" s="8">
        <f>1.4*20/20</f>
        <v>1.4</v>
      </c>
      <c r="J27" s="9">
        <f>11.67*20/20</f>
        <v>11.67</v>
      </c>
    </row>
    <row r="28" spans="1:10" ht="15.75" thickBot="1" x14ac:dyDescent="0.25">
      <c r="A28" s="28"/>
      <c r="B28" s="29"/>
      <c r="C28" s="30"/>
      <c r="D28" s="30"/>
      <c r="E28" s="65"/>
      <c r="F28" s="79">
        <f>SUM(F20:F27)</f>
        <v>125.00044</v>
      </c>
      <c r="G28" s="31">
        <f>SUM(G20:G27)</f>
        <v>956.81</v>
      </c>
      <c r="H28" s="31">
        <f>SUM(H20:H27)</f>
        <v>32.381999999999998</v>
      </c>
      <c r="I28" s="31">
        <f>SUM(I20:I27)</f>
        <v>43.78</v>
      </c>
      <c r="J28" s="32">
        <f>SUM(J20:J27)</f>
        <v>117.655</v>
      </c>
    </row>
    <row r="29" spans="1:10" customFormat="1" ht="27.75" x14ac:dyDescent="0.2">
      <c r="A29" s="6"/>
      <c r="B29" s="89" t="s">
        <v>52</v>
      </c>
      <c r="C29" s="75">
        <v>11</v>
      </c>
      <c r="D29" s="76" t="s">
        <v>50</v>
      </c>
      <c r="E29" s="77" t="s">
        <v>67</v>
      </c>
      <c r="F29" s="78">
        <f>12.95*160/150</f>
        <v>13.813333333333333</v>
      </c>
      <c r="G29" s="13">
        <v>173.88</v>
      </c>
      <c r="H29" s="13">
        <v>6.79</v>
      </c>
      <c r="I29" s="13">
        <v>8.1</v>
      </c>
      <c r="J29" s="33">
        <v>34.85</v>
      </c>
    </row>
    <row r="30" spans="1:10" customFormat="1" x14ac:dyDescent="0.2">
      <c r="A30" s="26"/>
      <c r="B30" s="86" t="s">
        <v>11</v>
      </c>
      <c r="C30" s="52">
        <v>57</v>
      </c>
      <c r="D30" s="53" t="s">
        <v>68</v>
      </c>
      <c r="E30" s="42" t="s">
        <v>44</v>
      </c>
      <c r="F30" s="66">
        <v>1.65</v>
      </c>
      <c r="G30" s="8">
        <v>41</v>
      </c>
      <c r="H30" s="8">
        <v>0</v>
      </c>
      <c r="I30" s="8">
        <v>0</v>
      </c>
      <c r="J30" s="9">
        <v>10.01</v>
      </c>
    </row>
    <row r="31" spans="1:10" customFormat="1" x14ac:dyDescent="0.2">
      <c r="A31" s="26"/>
      <c r="B31" s="27" t="s">
        <v>51</v>
      </c>
      <c r="C31" s="48">
        <v>58</v>
      </c>
      <c r="D31" s="49" t="s">
        <v>53</v>
      </c>
      <c r="E31" s="40">
        <v>80</v>
      </c>
      <c r="F31" s="66">
        <f>63.82*80/90</f>
        <v>56.728888888888896</v>
      </c>
      <c r="G31" s="8">
        <f>71.4*75/60</f>
        <v>89.25</v>
      </c>
      <c r="H31" s="8">
        <f>1.14*75/60</f>
        <v>1.4249999999999998</v>
      </c>
      <c r="I31" s="8">
        <f>5.34*75/60</f>
        <v>6.6749999999999998</v>
      </c>
      <c r="J31" s="9">
        <f>4.62*75/60</f>
        <v>5.7750000000000004</v>
      </c>
    </row>
    <row r="32" spans="1:10" customFormat="1" x14ac:dyDescent="0.2">
      <c r="A32" s="26"/>
      <c r="B32" s="7" t="s">
        <v>17</v>
      </c>
      <c r="C32" s="48" t="s">
        <v>20</v>
      </c>
      <c r="D32" s="49" t="s">
        <v>24</v>
      </c>
      <c r="E32" s="40">
        <v>32</v>
      </c>
      <c r="F32" s="66">
        <v>2.81</v>
      </c>
      <c r="G32" s="8">
        <f>41.6*32/20</f>
        <v>66.56</v>
      </c>
      <c r="H32" s="8">
        <f>1.6*32/20</f>
        <v>2.56</v>
      </c>
      <c r="I32" s="8">
        <f>0.03*32/20</f>
        <v>4.8000000000000001E-2</v>
      </c>
      <c r="J32" s="9">
        <f>8.02*32/20</f>
        <v>12.831999999999999</v>
      </c>
    </row>
    <row r="33" spans="1:10" customFormat="1" ht="15.75" thickBot="1" x14ac:dyDescent="0.25">
      <c r="A33" s="28"/>
      <c r="B33" s="29"/>
      <c r="C33" s="30"/>
      <c r="D33" s="30"/>
      <c r="E33" s="65"/>
      <c r="F33" s="79">
        <f>SUM(F29:F32)</f>
        <v>75.00222222222223</v>
      </c>
      <c r="G33" s="31">
        <f>SUM(G29:G32)</f>
        <v>370.69</v>
      </c>
      <c r="H33" s="31">
        <f>SUM(H29:H32)</f>
        <v>10.775</v>
      </c>
      <c r="I33" s="31">
        <f>SUM(I29:I32)</f>
        <v>14.822999999999999</v>
      </c>
      <c r="J33" s="32">
        <f>SUM(J29:J32)</f>
        <v>63.466999999999999</v>
      </c>
    </row>
    <row r="36" spans="1:10" x14ac:dyDescent="0.2">
      <c r="A36" s="18" t="s">
        <v>28</v>
      </c>
      <c r="B36"/>
      <c r="C36"/>
      <c r="D36"/>
    </row>
    <row r="37" spans="1:10" x14ac:dyDescent="0.2">
      <c r="A37"/>
      <c r="B37"/>
      <c r="C37"/>
      <c r="D37"/>
    </row>
    <row r="38" spans="1:10" x14ac:dyDescent="0.2">
      <c r="A38" s="18" t="s">
        <v>29</v>
      </c>
      <c r="B38"/>
      <c r="C38"/>
      <c r="D38"/>
    </row>
  </sheetData>
  <mergeCells count="2">
    <mergeCell ref="B1:D1"/>
    <mergeCell ref="B6:B7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F14:F15 F7 F2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2022-10-13T04:10:28Z</cp:lastPrinted>
  <dcterms:created xsi:type="dcterms:W3CDTF">2015-06-05T18:19:34Z</dcterms:created>
  <dcterms:modified xsi:type="dcterms:W3CDTF">2023-05-19T02:06:04Z</dcterms:modified>
</cp:coreProperties>
</file>