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Элита\"/>
    </mc:Choice>
  </mc:AlternateContent>
  <xr:revisionPtr revIDLastSave="4" documentId="13_ncr:1_{11E794BD-ED56-4304-B3A3-103C4BF2A464}" xr6:coauthVersionLast="47" xr6:coauthVersionMax="47" xr10:uidLastSave="{6320CAC6-79CE-5F49-97CA-B94B474184D4}"/>
  <bookViews>
    <workbookView xWindow="-108" yWindow="-108" windowWidth="23256" windowHeight="12576" activeTab="1" xr2:uid="{00000000-000D-0000-FFFF-FFFF00000000}"/>
  </bookViews>
  <sheets>
    <sheet name="бесплатно" sheetId="1" r:id="rId1"/>
    <sheet name="платно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2" l="1"/>
  <c r="I23" i="2"/>
  <c r="H23" i="2"/>
  <c r="G23" i="2"/>
  <c r="J22" i="2"/>
  <c r="I22" i="2"/>
  <c r="H22" i="2"/>
  <c r="G22" i="2"/>
  <c r="F23" i="2"/>
  <c r="J7" i="2"/>
  <c r="I7" i="2"/>
  <c r="H7" i="2"/>
  <c r="G7" i="2"/>
  <c r="J6" i="2"/>
  <c r="I6" i="2"/>
  <c r="H6" i="2"/>
  <c r="G6" i="2"/>
  <c r="F7" i="2"/>
  <c r="F6" i="2"/>
  <c r="F4" i="2"/>
  <c r="F21" i="2"/>
  <c r="F18" i="2"/>
  <c r="F36" i="1"/>
  <c r="F19" i="2"/>
  <c r="J16" i="2"/>
  <c r="I16" i="2"/>
  <c r="H16" i="2"/>
  <c r="G16" i="2"/>
  <c r="J15" i="2"/>
  <c r="I15" i="2"/>
  <c r="H15" i="2"/>
  <c r="G15" i="2"/>
  <c r="F16" i="2"/>
  <c r="F11" i="2"/>
  <c r="F4" i="1"/>
  <c r="J40" i="1"/>
  <c r="I40" i="1"/>
  <c r="H40" i="1"/>
  <c r="G40" i="1"/>
  <c r="J39" i="1"/>
  <c r="I39" i="1"/>
  <c r="H39" i="1"/>
  <c r="G39" i="1"/>
  <c r="F39" i="1"/>
  <c r="F40" i="1"/>
  <c r="F34" i="1"/>
  <c r="F37" i="1"/>
  <c r="F35" i="1"/>
  <c r="J27" i="1"/>
  <c r="I27" i="1"/>
  <c r="H27" i="1"/>
  <c r="G27" i="1"/>
  <c r="J26" i="1"/>
  <c r="I26" i="1"/>
  <c r="H26" i="1"/>
  <c r="G26" i="1"/>
  <c r="F26" i="1"/>
  <c r="F24" i="1"/>
  <c r="J20" i="1"/>
  <c r="I20" i="1"/>
  <c r="H20" i="1"/>
  <c r="G20" i="1"/>
  <c r="J19" i="1"/>
  <c r="I19" i="1"/>
  <c r="H19" i="1"/>
  <c r="G19" i="1"/>
  <c r="F19" i="1"/>
  <c r="F15" i="1"/>
  <c r="F17" i="1"/>
  <c r="F16" i="1"/>
  <c r="F14" i="1"/>
  <c r="F21" i="1"/>
  <c r="J7" i="1"/>
  <c r="I7" i="1"/>
  <c r="H7" i="1"/>
  <c r="G7" i="1"/>
  <c r="J6" i="1"/>
  <c r="I6" i="1"/>
  <c r="H6" i="1"/>
  <c r="G6" i="1"/>
  <c r="F7" i="1"/>
  <c r="F6" i="1"/>
  <c r="F13" i="2"/>
  <c r="F28" i="1"/>
  <c r="J21" i="2"/>
  <c r="I21" i="2"/>
  <c r="H21" i="2"/>
  <c r="G21" i="2"/>
  <c r="F24" i="2"/>
  <c r="J13" i="2"/>
  <c r="I13" i="2"/>
  <c r="H13" i="2"/>
  <c r="G13" i="2"/>
  <c r="F14" i="2"/>
  <c r="F9" i="2"/>
  <c r="F29" i="1"/>
  <c r="J14" i="1"/>
  <c r="I14" i="1"/>
  <c r="H14" i="1"/>
  <c r="G14" i="1"/>
  <c r="F9" i="1"/>
  <c r="F25" i="2"/>
  <c r="F41" i="1"/>
  <c r="F30" i="1"/>
  <c r="F17" i="2"/>
  <c r="J9" i="2"/>
  <c r="I9" i="2"/>
  <c r="H9" i="2"/>
  <c r="G9" i="2"/>
  <c r="F8" i="2"/>
  <c r="J34" i="1"/>
  <c r="I34" i="1"/>
  <c r="H34" i="1"/>
  <c r="G34" i="1"/>
  <c r="J28" i="1"/>
  <c r="I28" i="1"/>
  <c r="H28" i="1"/>
  <c r="G28" i="1"/>
  <c r="J17" i="1"/>
  <c r="I17" i="1"/>
  <c r="H17" i="1"/>
  <c r="G17" i="1"/>
  <c r="F8" i="1"/>
  <c r="J24" i="2"/>
  <c r="J25" i="2"/>
  <c r="I24" i="2"/>
  <c r="I25" i="2"/>
  <c r="H24" i="2"/>
  <c r="H25" i="2"/>
  <c r="G24" i="2"/>
  <c r="G25" i="2"/>
  <c r="J14" i="2"/>
  <c r="I14" i="2"/>
  <c r="H14" i="2"/>
  <c r="G14" i="2"/>
  <c r="G21" i="1"/>
  <c r="H13" i="1"/>
  <c r="G13" i="1"/>
  <c r="H9" i="1"/>
  <c r="H10" i="1"/>
  <c r="G9" i="1"/>
  <c r="G10" i="1"/>
  <c r="J9" i="1"/>
  <c r="J10" i="1"/>
  <c r="I9" i="1"/>
  <c r="I10" i="1"/>
  <c r="G17" i="2"/>
  <c r="J37" i="1"/>
  <c r="I37" i="1"/>
  <c r="I41" i="1"/>
  <c r="H37" i="1"/>
  <c r="G37" i="1"/>
  <c r="J32" i="1"/>
  <c r="J33" i="1"/>
  <c r="I32" i="1"/>
  <c r="I33" i="1"/>
  <c r="H32" i="1"/>
  <c r="G41" i="1"/>
  <c r="H33" i="1"/>
  <c r="G33" i="1"/>
  <c r="J29" i="1"/>
  <c r="I29" i="1"/>
  <c r="H29" i="1"/>
  <c r="G29" i="1"/>
  <c r="G30" i="1"/>
  <c r="J21" i="1"/>
  <c r="H21" i="1"/>
  <c r="J13" i="1"/>
  <c r="I13" i="1"/>
  <c r="H17" i="2"/>
  <c r="G10" i="2"/>
  <c r="J17" i="2"/>
  <c r="H10" i="2"/>
  <c r="I10" i="2"/>
  <c r="J10" i="2"/>
  <c r="I17" i="2"/>
  <c r="J30" i="1"/>
  <c r="J41" i="1"/>
  <c r="I21" i="1"/>
  <c r="H30" i="1"/>
  <c r="I30" i="1"/>
  <c r="H41" i="1"/>
</calcChain>
</file>

<file path=xl/sharedStrings.xml><?xml version="1.0" encoding="utf-8"?>
<sst xmlns="http://schemas.openxmlformats.org/spreadsheetml/2006/main" count="194" uniqueCount="67">
  <si>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</si>
  <si>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</si>
  <si>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</si>
  <si>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</si>
  <si>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</si>
  <si>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</si>
  <si>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</si>
  <si>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</si>
  <si>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</si>
  <si>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</si>
  <si>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</si>
  <si>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</si>
  <si>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</si>
  <si>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</si>
  <si>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</si>
  <si>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</si>
  <si>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</si>
  <si>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</si>
  <si>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</si>
  <si>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</si>
  <si>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</si>
  <si>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</si>
  <si>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</si>
  <si>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</si>
  <si>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</si>
  <si>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</si>
  <si>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</si>
  <si>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</si>
  <si>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</si>
  <si>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</si>
  <si>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</si>
  <si>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</si>
  <si>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</si>
  <si>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Плов из птицы</t>
  </si>
  <si>
    <t>Огурец соленый</t>
  </si>
  <si>
    <t>Лепешка с сыром</t>
  </si>
  <si>
    <t>Рыба тушеная в томате с овощами</t>
  </si>
  <si>
    <t>Пюре картофельное</t>
  </si>
  <si>
    <t>Кампот из смеси сухофруктов</t>
  </si>
  <si>
    <t>Борщ с капустой и мясом со сметаной</t>
  </si>
  <si>
    <t>45/45</t>
  </si>
  <si>
    <t>180</t>
  </si>
  <si>
    <t>Чай с сахаром</t>
  </si>
  <si>
    <t>Зеленый горошек</t>
  </si>
  <si>
    <t>200</t>
  </si>
  <si>
    <t>Сок</t>
  </si>
  <si>
    <t>Вафли</t>
  </si>
  <si>
    <t>День  3</t>
  </si>
  <si>
    <t>День 3</t>
  </si>
  <si>
    <t>140/20</t>
  </si>
  <si>
    <t>60</t>
  </si>
  <si>
    <t>50/50</t>
  </si>
  <si>
    <t>37</t>
  </si>
  <si>
    <t>36</t>
  </si>
  <si>
    <t>Снежок</t>
  </si>
  <si>
    <t>31</t>
  </si>
  <si>
    <t>32</t>
  </si>
  <si>
    <t>Борщ с капустой со сметаной</t>
  </si>
  <si>
    <t>250/5</t>
  </si>
  <si>
    <t>35</t>
  </si>
  <si>
    <t>165/35</t>
  </si>
  <si>
    <t>90</t>
  </si>
  <si>
    <t>40</t>
  </si>
  <si>
    <t>240/10/5</t>
  </si>
  <si>
    <t>33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</si>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</sst>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4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1" xfId="0" applyFont="1" applyBorder="1" applyProtection="1">
      <protection locked="0"/>
    </xf>
    <xf numFmtId="0" fontId="3" fillId="0" borderId="14" xfId="0" applyFont="1" applyBorder="1"/>
    <xf numFmtId="0" fontId="3" fillId="0" borderId="17" xfId="0" applyFont="1" applyBorder="1"/>
    <xf numFmtId="0" fontId="3" fillId="0" borderId="18" xfId="0" applyFont="1" applyBorder="1" applyProtection="1">
      <protection locked="0"/>
    </xf>
    <xf numFmtId="0" fontId="3" fillId="0" borderId="18" xfId="0" applyFont="1" applyBorder="1"/>
    <xf numFmtId="0" fontId="5" fillId="0" borderId="18" xfId="0" applyFont="1" applyBorder="1" applyAlignment="1">
      <alignment horizontal="center"/>
    </xf>
    <xf numFmtId="2" fontId="3" fillId="0" borderId="18" xfId="0" applyNumberFormat="1" applyFont="1" applyBorder="1"/>
    <xf numFmtId="2" fontId="3" fillId="0" borderId="19" xfId="0" applyNumberFormat="1" applyFont="1" applyBorder="1"/>
    <xf numFmtId="0" fontId="3" fillId="0" borderId="11" xfId="0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6" fillId="0" borderId="11" xfId="0" applyFont="1" applyBorder="1" applyAlignment="1">
      <alignment horizontal="center" vertic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Protection="1"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Protection="1"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1" fontId="6" fillId="0" borderId="14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Protection="1"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2" fontId="6" fillId="0" borderId="18" xfId="0" applyNumberFormat="1" applyFont="1" applyBorder="1"/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1" xfId="0" applyBorder="1"/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Protection="1">
      <protection locked="0"/>
    </xf>
    <xf numFmtId="0" fontId="0" fillId="0" borderId="22" xfId="0" applyBorder="1"/>
    <xf numFmtId="0" fontId="0" fillId="0" borderId="23" xfId="0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Protection="1">
      <protection locked="0"/>
    </xf>
    <xf numFmtId="2" fontId="0" fillId="0" borderId="23" xfId="0" applyNumberFormat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wrapText="1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Protection="1">
      <protection locked="0"/>
    </xf>
    <xf numFmtId="49" fontId="8" fillId="0" borderId="14" xfId="0" applyNumberFormat="1" applyFont="1" applyBorder="1" applyAlignment="1" applyProtection="1">
      <alignment horizontal="center"/>
      <protection locked="0"/>
    </xf>
    <xf numFmtId="2" fontId="8" fillId="0" borderId="14" xfId="0" applyNumberFormat="1" applyFont="1" applyBorder="1" applyProtection="1">
      <protection locked="0"/>
    </xf>
    <xf numFmtId="0" fontId="8" fillId="0" borderId="18" xfId="0" applyFont="1" applyBorder="1" applyAlignment="1">
      <alignment horizontal="center"/>
    </xf>
    <xf numFmtId="2" fontId="8" fillId="0" borderId="18" xfId="0" applyNumberFormat="1" applyFont="1" applyBorder="1"/>
    <xf numFmtId="2" fontId="9" fillId="0" borderId="18" xfId="0" applyNumberFormat="1" applyFont="1" applyBorder="1"/>
    <xf numFmtId="0" fontId="0" fillId="0" borderId="24" xfId="0" applyBorder="1"/>
    <xf numFmtId="2" fontId="0" fillId="0" borderId="25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3"/>
  <sheetViews>
    <sheetView topLeftCell="E1" workbookViewId="0">
      <selection activeCell="I1" sqref="I1:I1048576"/>
    </sheetView>
  </sheetViews>
  <sheetFormatPr defaultRowHeight="15" x14ac:dyDescent="0.2"/>
  <cols>
    <col min="1" max="1" width="11.8359375" bestFit="1" customWidth="1"/>
    <col min="2" max="2" width="11.56640625" customWidth="1"/>
    <col min="3" max="3" width="7.12890625" bestFit="1" customWidth="1"/>
    <col min="4" max="4" width="24.6171875" bestFit="1" customWidth="1"/>
    <col min="5" max="5" width="9.81640625" style="20" customWidth="1"/>
    <col min="6" max="6" width="9.28125" bestFit="1" customWidth="1"/>
    <col min="7" max="7" width="7.6640625" customWidth="1"/>
    <col min="8" max="8" width="7.26171875" bestFit="1" customWidth="1"/>
    <col min="9" max="9" width="12.375" customWidth="1"/>
    <col min="10" max="10" width="8.609375" customWidth="1"/>
  </cols>
  <sheetData>
    <row r="1" spans="1:10" ht="28.9" customHeight="1" x14ac:dyDescent="0.2">
      <c r="A1" t="s">
        <v>0</v>
      </c>
      <c r="B1" s="109" t="s">
        <v>65</v>
      </c>
      <c r="C1" s="110"/>
      <c r="D1" s="111"/>
      <c r="E1" s="20" t="s">
        <v>28</v>
      </c>
      <c r="F1" s="19"/>
      <c r="H1" t="s">
        <v>47</v>
      </c>
      <c r="I1" s="18">
        <v>45063</v>
      </c>
    </row>
    <row r="2" spans="1:10" ht="15.75" thickBot="1" x14ac:dyDescent="0.25">
      <c r="B2" s="1" t="s">
        <v>27</v>
      </c>
    </row>
    <row r="3" spans="1:10" s="27" customFormat="1" ht="28.5" thickBot="1" x14ac:dyDescent="0.25">
      <c r="A3" s="23" t="s">
        <v>1</v>
      </c>
      <c r="B3" s="24" t="s">
        <v>2</v>
      </c>
      <c r="C3" s="24" t="s">
        <v>19</v>
      </c>
      <c r="D3" s="24" t="s">
        <v>3</v>
      </c>
      <c r="E3" s="59" t="s">
        <v>20</v>
      </c>
      <c r="F3" s="59" t="s">
        <v>4</v>
      </c>
      <c r="G3" s="25" t="s">
        <v>5</v>
      </c>
      <c r="H3" s="24" t="s">
        <v>6</v>
      </c>
      <c r="I3" s="24" t="s">
        <v>7</v>
      </c>
      <c r="J3" s="26" t="s">
        <v>8</v>
      </c>
    </row>
    <row r="4" spans="1:10" x14ac:dyDescent="0.2">
      <c r="A4" s="5" t="s">
        <v>9</v>
      </c>
      <c r="B4" s="41" t="s">
        <v>10</v>
      </c>
      <c r="C4" s="74">
        <v>34</v>
      </c>
      <c r="D4" s="75" t="s">
        <v>33</v>
      </c>
      <c r="E4" s="60" t="s">
        <v>49</v>
      </c>
      <c r="F4" s="61">
        <f>19.45*20/54+8*140/106</f>
        <v>17.76974143955276</v>
      </c>
      <c r="G4" s="7">
        <v>348.8</v>
      </c>
      <c r="H4" s="7">
        <v>15.89</v>
      </c>
      <c r="I4" s="7">
        <v>20.27</v>
      </c>
      <c r="J4" s="8">
        <v>25.71</v>
      </c>
    </row>
    <row r="5" spans="1:10" x14ac:dyDescent="0.2">
      <c r="A5" s="9"/>
      <c r="B5" s="43" t="s">
        <v>11</v>
      </c>
      <c r="C5" s="76">
        <v>57</v>
      </c>
      <c r="D5" s="77" t="s">
        <v>42</v>
      </c>
      <c r="E5" s="62">
        <v>200</v>
      </c>
      <c r="F5" s="63">
        <v>1.24</v>
      </c>
      <c r="G5" s="11">
        <v>41</v>
      </c>
      <c r="H5" s="11">
        <v>0</v>
      </c>
      <c r="I5" s="11">
        <v>0</v>
      </c>
      <c r="J5" s="12">
        <v>10.01</v>
      </c>
    </row>
    <row r="6" spans="1:10" x14ac:dyDescent="0.2">
      <c r="A6" s="9"/>
      <c r="B6" s="43" t="s">
        <v>17</v>
      </c>
      <c r="C6" s="76" t="s">
        <v>21</v>
      </c>
      <c r="D6" s="77" t="s">
        <v>22</v>
      </c>
      <c r="E6" s="62">
        <v>20</v>
      </c>
      <c r="F6" s="63">
        <f>50.71*0.02</f>
        <v>1.0142</v>
      </c>
      <c r="G6" s="11">
        <f>40*20/20</f>
        <v>40</v>
      </c>
      <c r="H6" s="11">
        <f>0.98*20/20</f>
        <v>0.98000000000000009</v>
      </c>
      <c r="I6" s="11">
        <f>0.2*20/20</f>
        <v>0.2</v>
      </c>
      <c r="J6" s="12">
        <f>8.95*20/20</f>
        <v>8.9499999999999993</v>
      </c>
    </row>
    <row r="7" spans="1:10" x14ac:dyDescent="0.2">
      <c r="A7" s="9"/>
      <c r="B7" s="44" t="s">
        <v>18</v>
      </c>
      <c r="C7" s="76" t="s">
        <v>21</v>
      </c>
      <c r="D7" s="77" t="s">
        <v>26</v>
      </c>
      <c r="E7" s="62">
        <v>20</v>
      </c>
      <c r="F7" s="63">
        <f>74.8*0.02</f>
        <v>1.496</v>
      </c>
      <c r="G7" s="11">
        <f>41.6*20/20</f>
        <v>41.6</v>
      </c>
      <c r="H7" s="11">
        <f>1.6*20/20</f>
        <v>1.6</v>
      </c>
      <c r="I7" s="11">
        <f>0.03*20/20</f>
        <v>0.03</v>
      </c>
      <c r="J7" s="12">
        <f>8.02*20/20</f>
        <v>8.02</v>
      </c>
    </row>
    <row r="8" spans="1:10" x14ac:dyDescent="0.2">
      <c r="A8" s="9"/>
      <c r="B8" s="44" t="s">
        <v>23</v>
      </c>
      <c r="C8" s="76">
        <v>4</v>
      </c>
      <c r="D8" s="77" t="s">
        <v>34</v>
      </c>
      <c r="E8" s="62">
        <v>60</v>
      </c>
      <c r="F8" s="63">
        <f>28.02*60/60</f>
        <v>28.02</v>
      </c>
      <c r="G8" s="11">
        <v>14.14</v>
      </c>
      <c r="H8" s="11">
        <v>0.66</v>
      </c>
      <c r="I8" s="11">
        <v>0.12</v>
      </c>
      <c r="J8" s="12">
        <v>2.2799999999999998</v>
      </c>
    </row>
    <row r="9" spans="1:10" x14ac:dyDescent="0.2">
      <c r="A9" s="9"/>
      <c r="B9" s="44" t="s">
        <v>23</v>
      </c>
      <c r="C9" s="76" t="s">
        <v>21</v>
      </c>
      <c r="D9" s="77" t="s">
        <v>46</v>
      </c>
      <c r="E9" s="62">
        <v>40</v>
      </c>
      <c r="F9" s="63">
        <f>225.6*0.04</f>
        <v>9.0239999999999991</v>
      </c>
      <c r="G9" s="16">
        <f>127.12</f>
        <v>127.12</v>
      </c>
      <c r="H9" s="16">
        <f>2.14</f>
        <v>2.14</v>
      </c>
      <c r="I9" s="16">
        <f>2.8</f>
        <v>2.8</v>
      </c>
      <c r="J9" s="53">
        <f>23.34</f>
        <v>23.34</v>
      </c>
    </row>
    <row r="10" spans="1:10" ht="15.75" thickBot="1" x14ac:dyDescent="0.25">
      <c r="A10" s="89"/>
      <c r="B10" s="90"/>
      <c r="C10" s="91"/>
      <c r="D10" s="92"/>
      <c r="E10" s="93"/>
      <c r="F10" s="94">
        <v>58.52</v>
      </c>
      <c r="G10" s="95">
        <f>SUM(G4:G9)</f>
        <v>612.66000000000008</v>
      </c>
      <c r="H10" s="95">
        <f>SUM(H4:H9)</f>
        <v>21.270000000000003</v>
      </c>
      <c r="I10" s="95">
        <f>SUM(I4:I9)</f>
        <v>23.42</v>
      </c>
      <c r="J10" s="95">
        <f>SUM(J4:J9)</f>
        <v>78.31</v>
      </c>
    </row>
    <row r="11" spans="1:10" x14ac:dyDescent="0.2">
      <c r="A11" s="5" t="s">
        <v>24</v>
      </c>
      <c r="B11" s="6" t="s">
        <v>25</v>
      </c>
      <c r="C11" s="78">
        <v>63</v>
      </c>
      <c r="D11" s="79" t="s">
        <v>54</v>
      </c>
      <c r="E11" s="64">
        <v>200</v>
      </c>
      <c r="F11" s="61">
        <v>27.31</v>
      </c>
      <c r="G11" s="7">
        <v>106</v>
      </c>
      <c r="H11" s="7">
        <v>5.8</v>
      </c>
      <c r="I11" s="7">
        <v>5</v>
      </c>
      <c r="J11" s="8">
        <v>8</v>
      </c>
    </row>
    <row r="12" spans="1:10" x14ac:dyDescent="0.2">
      <c r="B12" s="44" t="s">
        <v>23</v>
      </c>
      <c r="C12" s="80">
        <v>62</v>
      </c>
      <c r="D12" s="81" t="s">
        <v>35</v>
      </c>
      <c r="E12" s="62">
        <v>100</v>
      </c>
      <c r="F12" s="63">
        <v>24.64</v>
      </c>
      <c r="G12" s="11">
        <v>271.83999999999997</v>
      </c>
      <c r="H12" s="11">
        <v>10.49</v>
      </c>
      <c r="I12" s="11">
        <v>11.32</v>
      </c>
      <c r="J12" s="11">
        <v>32</v>
      </c>
    </row>
    <row r="13" spans="1:10" ht="15.75" thickBot="1" x14ac:dyDescent="0.25">
      <c r="A13" s="21"/>
      <c r="B13" s="13"/>
      <c r="C13" s="82"/>
      <c r="D13" s="83"/>
      <c r="E13" s="65"/>
      <c r="F13" s="66">
        <v>43.9</v>
      </c>
      <c r="G13" s="14">
        <f>SUM(G11:G12)</f>
        <v>377.84</v>
      </c>
      <c r="H13" s="14">
        <f>SUM(H11:H12)</f>
        <v>16.29</v>
      </c>
      <c r="I13" s="14">
        <f t="shared" ref="I13:J13" si="0">SUM(I11:I12)</f>
        <v>16.32</v>
      </c>
      <c r="J13" s="14">
        <f t="shared" si="0"/>
        <v>40</v>
      </c>
    </row>
    <row r="14" spans="1:10" x14ac:dyDescent="0.2">
      <c r="A14" s="5" t="s">
        <v>12</v>
      </c>
      <c r="B14" s="6" t="s">
        <v>13</v>
      </c>
      <c r="C14" s="78">
        <v>1</v>
      </c>
      <c r="D14" s="79" t="s">
        <v>43</v>
      </c>
      <c r="E14" s="60" t="s">
        <v>50</v>
      </c>
      <c r="F14" s="61">
        <f>18.88*60/60</f>
        <v>18.88</v>
      </c>
      <c r="G14" s="7">
        <f>24*60/60</f>
        <v>24</v>
      </c>
      <c r="H14" s="7">
        <f>1.86*60/60</f>
        <v>1.86</v>
      </c>
      <c r="I14" s="7">
        <f>0.12*60/60</f>
        <v>0.11999999999999998</v>
      </c>
      <c r="J14" s="8">
        <f>3.9*60/60</f>
        <v>3.9</v>
      </c>
    </row>
    <row r="15" spans="1:10" ht="32.450000000000003" customHeight="1" x14ac:dyDescent="0.2">
      <c r="A15" s="9"/>
      <c r="B15" s="10" t="s">
        <v>14</v>
      </c>
      <c r="C15" s="80">
        <v>22</v>
      </c>
      <c r="D15" s="81" t="s">
        <v>57</v>
      </c>
      <c r="E15" s="67" t="s">
        <v>58</v>
      </c>
      <c r="F15" s="63">
        <f>10.27*250/250+1.84</f>
        <v>12.11</v>
      </c>
      <c r="G15" s="11">
        <v>198.5</v>
      </c>
      <c r="H15" s="11">
        <v>1.75</v>
      </c>
      <c r="I15" s="11">
        <v>6.05</v>
      </c>
      <c r="J15" s="12">
        <v>11.86</v>
      </c>
    </row>
    <row r="16" spans="1:10" ht="27.75" x14ac:dyDescent="0.2">
      <c r="A16" s="9"/>
      <c r="B16" s="10" t="s">
        <v>15</v>
      </c>
      <c r="C16" s="80">
        <v>51</v>
      </c>
      <c r="D16" s="81" t="s">
        <v>36</v>
      </c>
      <c r="E16" s="67" t="s">
        <v>40</v>
      </c>
      <c r="F16" s="63">
        <f>24.38*45/45+3.6*45/45</f>
        <v>27.98</v>
      </c>
      <c r="G16" s="11">
        <v>94.5</v>
      </c>
      <c r="H16" s="11">
        <v>8.66</v>
      </c>
      <c r="I16" s="11">
        <v>4.47</v>
      </c>
      <c r="J16" s="12">
        <v>4.6399999999999997</v>
      </c>
    </row>
    <row r="17" spans="1:10" x14ac:dyDescent="0.2">
      <c r="A17" s="9"/>
      <c r="B17" s="10" t="s">
        <v>16</v>
      </c>
      <c r="C17" s="80">
        <v>7</v>
      </c>
      <c r="D17" s="81" t="s">
        <v>37</v>
      </c>
      <c r="E17" s="67" t="s">
        <v>41</v>
      </c>
      <c r="F17" s="63">
        <f>20.75*180/180</f>
        <v>20.75</v>
      </c>
      <c r="G17" s="11">
        <f>159.12*180/180</f>
        <v>159.12</v>
      </c>
      <c r="H17" s="11">
        <f>3.74*180/180</f>
        <v>3.74</v>
      </c>
      <c r="I17" s="11">
        <f>6.12*180/180</f>
        <v>6.1199999999999992</v>
      </c>
      <c r="J17" s="12">
        <f>22.28*180/180</f>
        <v>22.28</v>
      </c>
    </row>
    <row r="18" spans="1:10" ht="27.75" x14ac:dyDescent="0.2">
      <c r="A18" s="9"/>
      <c r="B18" s="10" t="s">
        <v>25</v>
      </c>
      <c r="C18" s="80">
        <v>17</v>
      </c>
      <c r="D18" s="81" t="s">
        <v>38</v>
      </c>
      <c r="E18" s="67">
        <v>200</v>
      </c>
      <c r="F18" s="63">
        <v>4.1900000000000004</v>
      </c>
      <c r="G18" s="11">
        <v>87</v>
      </c>
      <c r="H18" s="11">
        <v>1.04</v>
      </c>
      <c r="I18" s="11">
        <v>0</v>
      </c>
      <c r="J18" s="12">
        <v>20.98</v>
      </c>
    </row>
    <row r="19" spans="1:10" x14ac:dyDescent="0.2">
      <c r="A19" s="9"/>
      <c r="B19" s="10" t="s">
        <v>18</v>
      </c>
      <c r="C19" s="80" t="s">
        <v>21</v>
      </c>
      <c r="D19" s="81" t="s">
        <v>26</v>
      </c>
      <c r="E19" s="67" t="s">
        <v>55</v>
      </c>
      <c r="F19" s="63">
        <f>74.8*0.031</f>
        <v>2.3188</v>
      </c>
      <c r="G19" s="11">
        <f>62.4*31/30</f>
        <v>64.47999999999999</v>
      </c>
      <c r="H19" s="11">
        <f>2.4*31/30</f>
        <v>2.4799999999999995</v>
      </c>
      <c r="I19" s="11">
        <f>0.45*31/30</f>
        <v>0.46500000000000002</v>
      </c>
      <c r="J19" s="12">
        <f>11.37*31/30</f>
        <v>11.748999999999999</v>
      </c>
    </row>
    <row r="20" spans="1:10" x14ac:dyDescent="0.2">
      <c r="A20" s="9"/>
      <c r="B20" s="17" t="s">
        <v>17</v>
      </c>
      <c r="C20" s="82" t="s">
        <v>21</v>
      </c>
      <c r="D20" s="83" t="s">
        <v>22</v>
      </c>
      <c r="E20" s="68" t="s">
        <v>55</v>
      </c>
      <c r="F20" s="66">
        <v>1.56</v>
      </c>
      <c r="G20" s="14">
        <f>60*31/30</f>
        <v>62</v>
      </c>
      <c r="H20" s="14">
        <f>1.47*31/30</f>
        <v>1.5189999999999999</v>
      </c>
      <c r="I20" s="14">
        <f>0.3*31/30</f>
        <v>0.30999999999999994</v>
      </c>
      <c r="J20" s="15">
        <f>13.44*31/30</f>
        <v>13.888</v>
      </c>
    </row>
    <row r="21" spans="1:10" ht="15.75" thickBot="1" x14ac:dyDescent="0.25">
      <c r="A21" s="54"/>
      <c r="B21" s="55"/>
      <c r="C21" s="56"/>
      <c r="D21" s="56"/>
      <c r="E21" s="72"/>
      <c r="F21" s="73">
        <f>SUM(F14:F20)</f>
        <v>87.788799999999995</v>
      </c>
      <c r="G21" s="57">
        <f>SUM(G14:G20)</f>
        <v>689.6</v>
      </c>
      <c r="H21" s="57">
        <f t="shared" ref="H21:J21" si="1">SUM(H14:H20)</f>
        <v>21.048999999999996</v>
      </c>
      <c r="I21" s="57">
        <f t="shared" si="1"/>
        <v>17.534999999999997</v>
      </c>
      <c r="J21" s="58">
        <f t="shared" si="1"/>
        <v>89.296999999999997</v>
      </c>
    </row>
    <row r="22" spans="1:10" ht="15.75" thickBot="1" x14ac:dyDescent="0.25">
      <c r="B22" s="1" t="s">
        <v>29</v>
      </c>
      <c r="E22" s="69"/>
      <c r="F22" s="70"/>
    </row>
    <row r="23" spans="1:10" ht="28.5" thickBot="1" x14ac:dyDescent="0.25">
      <c r="A23" s="2" t="s">
        <v>1</v>
      </c>
      <c r="B23" s="3" t="s">
        <v>2</v>
      </c>
      <c r="C23" s="3" t="s">
        <v>19</v>
      </c>
      <c r="D23" s="3" t="s">
        <v>3</v>
      </c>
      <c r="E23" s="71" t="s">
        <v>20</v>
      </c>
      <c r="F23" s="71" t="s">
        <v>4</v>
      </c>
      <c r="G23" s="22" t="s">
        <v>5</v>
      </c>
      <c r="H23" s="3" t="s">
        <v>6</v>
      </c>
      <c r="I23" s="3" t="s">
        <v>7</v>
      </c>
      <c r="J23" s="4" t="s">
        <v>8</v>
      </c>
    </row>
    <row r="24" spans="1:10" x14ac:dyDescent="0.2">
      <c r="A24" s="5" t="s">
        <v>9</v>
      </c>
      <c r="B24" s="41" t="s">
        <v>10</v>
      </c>
      <c r="C24" s="74">
        <v>34</v>
      </c>
      <c r="D24" s="75" t="s">
        <v>33</v>
      </c>
      <c r="E24" s="60" t="s">
        <v>60</v>
      </c>
      <c r="F24" s="61">
        <f>24.26*35/67+10.21*165/133</f>
        <v>25.339675681741667</v>
      </c>
      <c r="G24" s="7">
        <v>436</v>
      </c>
      <c r="H24" s="7">
        <v>19.87</v>
      </c>
      <c r="I24" s="7">
        <v>25.33</v>
      </c>
      <c r="J24" s="8">
        <v>32.130000000000003</v>
      </c>
    </row>
    <row r="25" spans="1:10" x14ac:dyDescent="0.2">
      <c r="A25" s="9"/>
      <c r="B25" s="43" t="s">
        <v>11</v>
      </c>
      <c r="C25" s="76">
        <v>57</v>
      </c>
      <c r="D25" s="77" t="s">
        <v>42</v>
      </c>
      <c r="E25" s="62">
        <v>200</v>
      </c>
      <c r="F25" s="63">
        <v>1.24</v>
      </c>
      <c r="G25" s="11">
        <v>41</v>
      </c>
      <c r="H25" s="11">
        <v>0</v>
      </c>
      <c r="I25" s="11">
        <v>0</v>
      </c>
      <c r="J25" s="12">
        <v>10.01</v>
      </c>
    </row>
    <row r="26" spans="1:10" x14ac:dyDescent="0.2">
      <c r="A26" s="9"/>
      <c r="B26" s="43" t="s">
        <v>17</v>
      </c>
      <c r="C26" s="76" t="s">
        <v>21</v>
      </c>
      <c r="D26" s="77" t="s">
        <v>22</v>
      </c>
      <c r="E26" s="68" t="s">
        <v>59</v>
      </c>
      <c r="F26" s="66">
        <f>50.71*0.035</f>
        <v>1.7748500000000003</v>
      </c>
      <c r="G26" s="14">
        <f>60*35/30</f>
        <v>70</v>
      </c>
      <c r="H26" s="14">
        <f>1.47*35/30</f>
        <v>1.7149999999999999</v>
      </c>
      <c r="I26" s="14">
        <f>0.3*35/30</f>
        <v>0.35</v>
      </c>
      <c r="J26" s="15">
        <f>13.44*35/30</f>
        <v>15.68</v>
      </c>
    </row>
    <row r="27" spans="1:10" x14ac:dyDescent="0.2">
      <c r="A27" s="9"/>
      <c r="B27" s="44" t="s">
        <v>18</v>
      </c>
      <c r="C27" s="76" t="s">
        <v>21</v>
      </c>
      <c r="D27" s="77" t="s">
        <v>26</v>
      </c>
      <c r="E27" s="67" t="s">
        <v>53</v>
      </c>
      <c r="F27" s="63">
        <v>2.65</v>
      </c>
      <c r="G27" s="11">
        <f>62.4*36/30</f>
        <v>74.88000000000001</v>
      </c>
      <c r="H27" s="11">
        <f>2.4*36/30</f>
        <v>2.88</v>
      </c>
      <c r="I27" s="11">
        <f>0.45*36/30</f>
        <v>0.53999999999999992</v>
      </c>
      <c r="J27" s="12">
        <f>11.37*36/30</f>
        <v>13.644</v>
      </c>
    </row>
    <row r="28" spans="1:10" x14ac:dyDescent="0.2">
      <c r="A28" s="9"/>
      <c r="B28" s="44" t="s">
        <v>23</v>
      </c>
      <c r="C28" s="76">
        <v>4</v>
      </c>
      <c r="D28" s="77" t="s">
        <v>34</v>
      </c>
      <c r="E28" s="62">
        <v>60</v>
      </c>
      <c r="F28" s="63">
        <f>46.71*60/100</f>
        <v>28.026</v>
      </c>
      <c r="G28" s="11">
        <f>14.14*70/60</f>
        <v>16.496666666666666</v>
      </c>
      <c r="H28" s="11">
        <f>0.66*70/60</f>
        <v>0.77</v>
      </c>
      <c r="I28" s="11">
        <f>0.12*70/60</f>
        <v>0.14000000000000001</v>
      </c>
      <c r="J28" s="12">
        <f>2.28*70/60</f>
        <v>2.6599999999999997</v>
      </c>
    </row>
    <row r="29" spans="1:10" x14ac:dyDescent="0.2">
      <c r="A29" s="9"/>
      <c r="B29" s="44" t="s">
        <v>23</v>
      </c>
      <c r="C29" s="76" t="s">
        <v>21</v>
      </c>
      <c r="D29" s="77" t="s">
        <v>46</v>
      </c>
      <c r="E29" s="62">
        <v>40</v>
      </c>
      <c r="F29" s="63">
        <f>225.6*0.04</f>
        <v>9.0239999999999991</v>
      </c>
      <c r="G29" s="16">
        <f>127.12</f>
        <v>127.12</v>
      </c>
      <c r="H29" s="16">
        <f>2.14</f>
        <v>2.14</v>
      </c>
      <c r="I29" s="16">
        <f>2.8</f>
        <v>2.8</v>
      </c>
      <c r="J29" s="53">
        <f>23.34</f>
        <v>23.34</v>
      </c>
    </row>
    <row r="30" spans="1:10" ht="15.75" thickBot="1" x14ac:dyDescent="0.25">
      <c r="A30" s="89"/>
      <c r="B30" s="56"/>
      <c r="C30" s="56"/>
      <c r="D30" s="56"/>
      <c r="E30" s="87"/>
      <c r="F30" s="94">
        <f>SUM(F24:F29)</f>
        <v>68.054525681741666</v>
      </c>
      <c r="G30" s="95">
        <f>SUM(G24:G29)</f>
        <v>765.49666666666667</v>
      </c>
      <c r="H30" s="95">
        <f t="shared" ref="H30" si="2">SUM(H24:H29)</f>
        <v>27.375</v>
      </c>
      <c r="I30" s="95">
        <f t="shared" ref="I30" si="3">SUM(I24:I29)</f>
        <v>29.16</v>
      </c>
      <c r="J30" s="106">
        <f t="shared" ref="J30" si="4">SUM(J24:J29)</f>
        <v>97.463999999999999</v>
      </c>
    </row>
    <row r="31" spans="1:10" x14ac:dyDescent="0.2">
      <c r="A31" s="5" t="s">
        <v>24</v>
      </c>
      <c r="B31" s="6" t="s">
        <v>25</v>
      </c>
      <c r="C31" s="78">
        <v>63</v>
      </c>
      <c r="D31" s="79" t="s">
        <v>54</v>
      </c>
      <c r="E31" s="64">
        <v>200</v>
      </c>
      <c r="F31" s="61">
        <v>27.31</v>
      </c>
      <c r="G31" s="7">
        <v>106</v>
      </c>
      <c r="H31" s="7">
        <v>5.8</v>
      </c>
      <c r="I31" s="7">
        <v>5</v>
      </c>
      <c r="J31" s="8">
        <v>8</v>
      </c>
    </row>
    <row r="32" spans="1:10" x14ac:dyDescent="0.2">
      <c r="A32" s="9"/>
      <c r="B32" s="44" t="s">
        <v>23</v>
      </c>
      <c r="C32" s="80">
        <v>62</v>
      </c>
      <c r="D32" s="81" t="s">
        <v>35</v>
      </c>
      <c r="E32" s="62">
        <v>150</v>
      </c>
      <c r="F32" s="63">
        <v>31.84</v>
      </c>
      <c r="G32" s="11">
        <v>407.78</v>
      </c>
      <c r="H32" s="11">
        <f>10.49*150/100</f>
        <v>15.734999999999999</v>
      </c>
      <c r="I32" s="11">
        <f>11.32*150/100</f>
        <v>16.98</v>
      </c>
      <c r="J32" s="12">
        <f>32*150/100</f>
        <v>48</v>
      </c>
    </row>
    <row r="33" spans="1:10" ht="15.75" thickBot="1" x14ac:dyDescent="0.25">
      <c r="A33" s="84"/>
      <c r="B33" s="55"/>
      <c r="C33" s="85"/>
      <c r="D33" s="86"/>
      <c r="E33" s="87"/>
      <c r="F33" s="88">
        <v>51.02</v>
      </c>
      <c r="G33" s="107">
        <f>SUM(G31:G32)</f>
        <v>513.78</v>
      </c>
      <c r="H33" s="107">
        <f t="shared" ref="H33" si="5">SUM(H31:H32)</f>
        <v>21.535</v>
      </c>
      <c r="I33" s="107">
        <f t="shared" ref="I33" si="6">SUM(I31:I32)</f>
        <v>21.98</v>
      </c>
      <c r="J33" s="108">
        <f t="shared" ref="J33" si="7">SUM(J31:J32)</f>
        <v>56</v>
      </c>
    </row>
    <row r="34" spans="1:10" x14ac:dyDescent="0.2">
      <c r="A34" s="5" t="s">
        <v>12</v>
      </c>
      <c r="B34" s="6" t="s">
        <v>13</v>
      </c>
      <c r="C34" s="78">
        <v>1</v>
      </c>
      <c r="D34" s="79" t="s">
        <v>43</v>
      </c>
      <c r="E34" s="60" t="s">
        <v>61</v>
      </c>
      <c r="F34" s="61">
        <f>31.6*90/100</f>
        <v>28.44</v>
      </c>
      <c r="G34" s="7">
        <f>40*95/100</f>
        <v>38</v>
      </c>
      <c r="H34" s="7">
        <f>3.1*95/100</f>
        <v>2.9449999999999998</v>
      </c>
      <c r="I34" s="7">
        <f>0.2*95/100</f>
        <v>0.19</v>
      </c>
      <c r="J34" s="8">
        <f>6.5*95/100</f>
        <v>6.1749999999999998</v>
      </c>
    </row>
    <row r="35" spans="1:10" ht="27.75" x14ac:dyDescent="0.2">
      <c r="A35" s="9"/>
      <c r="B35" s="10" t="s">
        <v>14</v>
      </c>
      <c r="C35" s="80">
        <v>22</v>
      </c>
      <c r="D35" s="81" t="s">
        <v>57</v>
      </c>
      <c r="E35" s="67" t="s">
        <v>58</v>
      </c>
      <c r="F35" s="63">
        <f>10.27*250/250+1.84</f>
        <v>12.11</v>
      </c>
      <c r="G35" s="11">
        <v>198.5</v>
      </c>
      <c r="H35" s="11">
        <v>1.75</v>
      </c>
      <c r="I35" s="11">
        <v>6.05</v>
      </c>
      <c r="J35" s="12">
        <v>11.86</v>
      </c>
    </row>
    <row r="36" spans="1:10" ht="27.75" x14ac:dyDescent="0.2">
      <c r="A36" s="9"/>
      <c r="B36" s="10" t="s">
        <v>15</v>
      </c>
      <c r="C36" s="80">
        <v>51</v>
      </c>
      <c r="D36" s="81" t="s">
        <v>36</v>
      </c>
      <c r="E36" s="67" t="s">
        <v>51</v>
      </c>
      <c r="F36" s="63">
        <f>26.94*50/50+4.61*50/50</f>
        <v>31.55</v>
      </c>
      <c r="G36" s="11">
        <v>105</v>
      </c>
      <c r="H36" s="11">
        <v>9.6199999999999992</v>
      </c>
      <c r="I36" s="11">
        <v>4.97</v>
      </c>
      <c r="J36" s="12">
        <v>5.15</v>
      </c>
    </row>
    <row r="37" spans="1:10" x14ac:dyDescent="0.2">
      <c r="A37" s="9"/>
      <c r="B37" s="10" t="s">
        <v>16</v>
      </c>
      <c r="C37" s="80">
        <v>7</v>
      </c>
      <c r="D37" s="81" t="s">
        <v>37</v>
      </c>
      <c r="E37" s="67" t="s">
        <v>41</v>
      </c>
      <c r="F37" s="63">
        <f>20.75*180/180</f>
        <v>20.75</v>
      </c>
      <c r="G37" s="11">
        <f>159.12*180/180</f>
        <v>159.12</v>
      </c>
      <c r="H37" s="11">
        <f>3.74*180/180</f>
        <v>3.74</v>
      </c>
      <c r="I37" s="11">
        <f>6.12*180/180</f>
        <v>6.1199999999999992</v>
      </c>
      <c r="J37" s="12">
        <f>22.28*180/180</f>
        <v>22.28</v>
      </c>
    </row>
    <row r="38" spans="1:10" ht="27.75" x14ac:dyDescent="0.2">
      <c r="A38" s="9"/>
      <c r="B38" s="10" t="s">
        <v>25</v>
      </c>
      <c r="C38" s="80">
        <v>17</v>
      </c>
      <c r="D38" s="81" t="s">
        <v>38</v>
      </c>
      <c r="E38" s="67">
        <v>200</v>
      </c>
      <c r="F38" s="63">
        <v>4.1900000000000004</v>
      </c>
      <c r="G38" s="11">
        <v>87</v>
      </c>
      <c r="H38" s="11">
        <v>1.04</v>
      </c>
      <c r="I38" s="11">
        <v>0</v>
      </c>
      <c r="J38" s="12">
        <v>20.98</v>
      </c>
    </row>
    <row r="39" spans="1:10" x14ac:dyDescent="0.2">
      <c r="A39" s="9"/>
      <c r="B39" s="10" t="s">
        <v>18</v>
      </c>
      <c r="C39" s="80" t="s">
        <v>21</v>
      </c>
      <c r="D39" s="81" t="s">
        <v>26</v>
      </c>
      <c r="E39" s="67" t="s">
        <v>62</v>
      </c>
      <c r="F39" s="63">
        <f>74.8*0.04</f>
        <v>2.992</v>
      </c>
      <c r="G39" s="11">
        <f>83.2*40/40</f>
        <v>83.2</v>
      </c>
      <c r="H39" s="11">
        <f>3.2*40/40</f>
        <v>3.2</v>
      </c>
      <c r="I39" s="11">
        <f>0.06*40/40</f>
        <v>0.06</v>
      </c>
      <c r="J39" s="12">
        <f>16.04*40/40</f>
        <v>16.04</v>
      </c>
    </row>
    <row r="40" spans="1:10" x14ac:dyDescent="0.2">
      <c r="A40" s="9"/>
      <c r="B40" s="17" t="s">
        <v>17</v>
      </c>
      <c r="C40" s="82" t="s">
        <v>21</v>
      </c>
      <c r="D40" s="83" t="s">
        <v>22</v>
      </c>
      <c r="E40" s="68" t="s">
        <v>62</v>
      </c>
      <c r="F40" s="66">
        <f>50.71*0.04</f>
        <v>2.0284</v>
      </c>
      <c r="G40" s="14">
        <f>80*40/40</f>
        <v>80</v>
      </c>
      <c r="H40" s="14">
        <f>1.96*40/40</f>
        <v>1.9600000000000002</v>
      </c>
      <c r="I40" s="14">
        <f>0.4*40/40</f>
        <v>0.4</v>
      </c>
      <c r="J40" s="15">
        <f>17.92*40/40</f>
        <v>17.920000000000002</v>
      </c>
    </row>
    <row r="41" spans="1:10" ht="15.75" thickBot="1" x14ac:dyDescent="0.25">
      <c r="A41" s="54"/>
      <c r="B41" s="55"/>
      <c r="C41" s="56"/>
      <c r="D41" s="56"/>
      <c r="E41" s="72"/>
      <c r="F41" s="73">
        <f>SUM(F34:F40)</f>
        <v>102.0604</v>
      </c>
      <c r="G41" s="57">
        <f>SUM(G34:G40)</f>
        <v>750.82</v>
      </c>
      <c r="H41" s="57">
        <f t="shared" ref="H41" si="8">SUM(H34:H40)</f>
        <v>24.254999999999999</v>
      </c>
      <c r="I41" s="57">
        <f t="shared" ref="I41" si="9">SUM(I34:I40)</f>
        <v>17.789999999999996</v>
      </c>
      <c r="J41" s="58">
        <f t="shared" ref="J41" si="10">SUM(J34:J40)</f>
        <v>100.40500000000002</v>
      </c>
    </row>
    <row r="42" spans="1:10" s="29" customFormat="1" x14ac:dyDescent="0.2">
      <c r="A42" s="28" t="s">
        <v>30</v>
      </c>
      <c r="B42"/>
      <c r="C42"/>
      <c r="D42"/>
      <c r="E42" s="30"/>
    </row>
    <row r="43" spans="1:10" x14ac:dyDescent="0.2">
      <c r="A43" s="28" t="s">
        <v>31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5" orientation="portrait" r:id="rId1"/>
  <ignoredErrors>
    <ignoredError sqref="I10 G9 F8:F9 J13 G13 G34 G2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0"/>
  <sheetViews>
    <sheetView tabSelected="1" topLeftCell="D1" workbookViewId="0">
      <selection activeCell="I1" sqref="I1:I1048576"/>
    </sheetView>
  </sheetViews>
  <sheetFormatPr defaultColWidth="8.875" defaultRowHeight="15" x14ac:dyDescent="0.2"/>
  <cols>
    <col min="1" max="1" width="11.8359375" style="29" bestFit="1" customWidth="1"/>
    <col min="2" max="2" width="11.56640625" style="29" customWidth="1"/>
    <col min="3" max="3" width="7.12890625" style="29" bestFit="1" customWidth="1"/>
    <col min="4" max="4" width="24.6171875" style="29" bestFit="1" customWidth="1"/>
    <col min="5" max="5" width="9.55078125" style="30" customWidth="1"/>
    <col min="6" max="6" width="7.12890625" style="29" bestFit="1" customWidth="1"/>
    <col min="7" max="7" width="7.6640625" style="29" customWidth="1"/>
    <col min="8" max="8" width="6.72265625" style="29" bestFit="1" customWidth="1"/>
    <col min="9" max="9" width="12.23828125" style="29" customWidth="1"/>
    <col min="10" max="10" width="8.609375" style="29" customWidth="1"/>
    <col min="11" max="16384" width="8.875" style="29"/>
  </cols>
  <sheetData>
    <row r="1" spans="1:10" ht="28.9" customHeight="1" x14ac:dyDescent="0.2">
      <c r="A1" s="29" t="s">
        <v>0</v>
      </c>
      <c r="B1" s="112" t="s">
        <v>65</v>
      </c>
      <c r="C1" s="113"/>
      <c r="D1" s="114"/>
      <c r="E1" s="30" t="s">
        <v>28</v>
      </c>
      <c r="F1" s="31"/>
      <c r="H1" s="29" t="s">
        <v>48</v>
      </c>
      <c r="I1" s="32">
        <v>45063</v>
      </c>
    </row>
    <row r="2" spans="1:10" ht="15.75" thickBot="1" x14ac:dyDescent="0.25">
      <c r="B2" s="33" t="s">
        <v>32</v>
      </c>
    </row>
    <row r="3" spans="1:10" s="39" customFormat="1" ht="28.5" thickBot="1" x14ac:dyDescent="0.25">
      <c r="A3" s="34" t="s">
        <v>1</v>
      </c>
      <c r="B3" s="35" t="s">
        <v>2</v>
      </c>
      <c r="C3" s="35" t="s">
        <v>19</v>
      </c>
      <c r="D3" s="35" t="s">
        <v>3</v>
      </c>
      <c r="E3" s="36" t="s">
        <v>20</v>
      </c>
      <c r="F3" s="36" t="s">
        <v>4</v>
      </c>
      <c r="G3" s="37" t="s">
        <v>5</v>
      </c>
      <c r="H3" s="35" t="s">
        <v>6</v>
      </c>
      <c r="I3" s="35" t="s">
        <v>7</v>
      </c>
      <c r="J3" s="38" t="s">
        <v>8</v>
      </c>
    </row>
    <row r="4" spans="1:10" x14ac:dyDescent="0.2">
      <c r="A4" s="5" t="s">
        <v>9</v>
      </c>
      <c r="B4" s="41" t="s">
        <v>10</v>
      </c>
      <c r="C4" s="74">
        <v>34</v>
      </c>
      <c r="D4" s="75" t="s">
        <v>33</v>
      </c>
      <c r="E4" s="60" t="s">
        <v>49</v>
      </c>
      <c r="F4" s="61">
        <f>25.87*20/54+11.21*140/106</f>
        <v>24.387141858839971</v>
      </c>
      <c r="G4" s="7">
        <v>348.8</v>
      </c>
      <c r="H4" s="7">
        <v>15.89</v>
      </c>
      <c r="I4" s="7">
        <v>20.27</v>
      </c>
      <c r="J4" s="8">
        <v>25.71</v>
      </c>
    </row>
    <row r="5" spans="1:10" x14ac:dyDescent="0.2">
      <c r="A5" s="9"/>
      <c r="B5" s="43" t="s">
        <v>11</v>
      </c>
      <c r="C5" s="76">
        <v>57</v>
      </c>
      <c r="D5" s="77" t="s">
        <v>42</v>
      </c>
      <c r="E5" s="62">
        <v>200</v>
      </c>
      <c r="F5" s="63">
        <v>1.65</v>
      </c>
      <c r="G5" s="11">
        <v>41</v>
      </c>
      <c r="H5" s="11">
        <v>0</v>
      </c>
      <c r="I5" s="11">
        <v>0</v>
      </c>
      <c r="J5" s="12">
        <v>10.01</v>
      </c>
    </row>
    <row r="6" spans="1:10" x14ac:dyDescent="0.2">
      <c r="A6" s="9"/>
      <c r="B6" s="45" t="s">
        <v>17</v>
      </c>
      <c r="C6" s="76" t="s">
        <v>21</v>
      </c>
      <c r="D6" s="77" t="s">
        <v>22</v>
      </c>
      <c r="E6" s="62">
        <v>20</v>
      </c>
      <c r="F6" s="63">
        <f>60.86*0.02</f>
        <v>1.2172000000000001</v>
      </c>
      <c r="G6" s="11">
        <f>40*20/20</f>
        <v>40</v>
      </c>
      <c r="H6" s="11">
        <f>0.98*20/20</f>
        <v>0.98000000000000009</v>
      </c>
      <c r="I6" s="11">
        <f>0.2*20/20</f>
        <v>0.2</v>
      </c>
      <c r="J6" s="12">
        <f>8.95*20/20</f>
        <v>8.9499999999999993</v>
      </c>
    </row>
    <row r="7" spans="1:10" x14ac:dyDescent="0.2">
      <c r="A7" s="9"/>
      <c r="B7" s="43" t="s">
        <v>18</v>
      </c>
      <c r="C7" s="76" t="s">
        <v>21</v>
      </c>
      <c r="D7" s="77" t="s">
        <v>26</v>
      </c>
      <c r="E7" s="62">
        <v>20</v>
      </c>
      <c r="F7" s="63">
        <f>89.76*0.02</f>
        <v>1.7952000000000001</v>
      </c>
      <c r="G7" s="11">
        <f>41.6*20/20</f>
        <v>41.6</v>
      </c>
      <c r="H7" s="11">
        <f>1.6*20/20</f>
        <v>1.6</v>
      </c>
      <c r="I7" s="11">
        <f>0.03*20/20</f>
        <v>0.03</v>
      </c>
      <c r="J7" s="12">
        <f>8.02*20/20</f>
        <v>8.02</v>
      </c>
    </row>
    <row r="8" spans="1:10" x14ac:dyDescent="0.2">
      <c r="A8" s="9"/>
      <c r="B8" s="44" t="s">
        <v>23</v>
      </c>
      <c r="C8" s="76">
        <v>4</v>
      </c>
      <c r="D8" s="77" t="s">
        <v>34</v>
      </c>
      <c r="E8" s="62">
        <v>60</v>
      </c>
      <c r="F8" s="63">
        <f>37.27*60/60</f>
        <v>37.270000000000003</v>
      </c>
      <c r="G8" s="11">
        <v>14.14</v>
      </c>
      <c r="H8" s="11">
        <v>0.66</v>
      </c>
      <c r="I8" s="11">
        <v>0.12</v>
      </c>
      <c r="J8" s="12">
        <v>2.2799999999999998</v>
      </c>
    </row>
    <row r="9" spans="1:10" x14ac:dyDescent="0.2">
      <c r="A9" s="105"/>
      <c r="B9" s="44" t="s">
        <v>23</v>
      </c>
      <c r="C9" s="76" t="s">
        <v>21</v>
      </c>
      <c r="D9" s="77" t="s">
        <v>46</v>
      </c>
      <c r="E9" s="62">
        <v>40</v>
      </c>
      <c r="F9" s="63">
        <f>225.6*0.04*1.33</f>
        <v>12.00192</v>
      </c>
      <c r="G9" s="16">
        <f>127.12</f>
        <v>127.12</v>
      </c>
      <c r="H9" s="16">
        <f>2.14</f>
        <v>2.14</v>
      </c>
      <c r="I9" s="16">
        <f>2.8</f>
        <v>2.8</v>
      </c>
      <c r="J9" s="53">
        <f>23.34</f>
        <v>23.34</v>
      </c>
    </row>
    <row r="10" spans="1:10" ht="15.75" thickBot="1" x14ac:dyDescent="0.25">
      <c r="A10" s="9"/>
      <c r="B10" s="90"/>
      <c r="C10" s="91"/>
      <c r="D10" s="92"/>
      <c r="E10" s="93"/>
      <c r="F10" s="94">
        <v>78</v>
      </c>
      <c r="G10" s="95">
        <f>SUM(G4:G9)</f>
        <v>612.66000000000008</v>
      </c>
      <c r="H10" s="95">
        <f>SUM(H4:H9)</f>
        <v>21.270000000000003</v>
      </c>
      <c r="I10" s="95">
        <f>SUM(I4:I9)</f>
        <v>23.42</v>
      </c>
      <c r="J10" s="106">
        <f>SUM(J4:J9)</f>
        <v>78.31</v>
      </c>
    </row>
    <row r="11" spans="1:10" x14ac:dyDescent="0.2">
      <c r="A11" s="40"/>
      <c r="B11" s="41" t="s">
        <v>10</v>
      </c>
      <c r="C11" s="74">
        <v>34</v>
      </c>
      <c r="D11" s="75" t="s">
        <v>33</v>
      </c>
      <c r="E11" s="60" t="s">
        <v>60</v>
      </c>
      <c r="F11" s="61">
        <f>32.26*35/67+13.57*165/133</f>
        <v>33.687201211985183</v>
      </c>
      <c r="G11" s="7">
        <v>348.8</v>
      </c>
      <c r="H11" s="7">
        <v>15.89</v>
      </c>
      <c r="I11" s="7">
        <v>20.27</v>
      </c>
      <c r="J11" s="8">
        <v>25.71</v>
      </c>
    </row>
    <row r="12" spans="1:10" x14ac:dyDescent="0.2">
      <c r="A12" s="42"/>
      <c r="B12" s="43" t="s">
        <v>25</v>
      </c>
      <c r="C12" s="80">
        <v>25</v>
      </c>
      <c r="D12" s="81" t="s">
        <v>45</v>
      </c>
      <c r="E12" s="67" t="s">
        <v>44</v>
      </c>
      <c r="F12" s="63">
        <v>17.82</v>
      </c>
      <c r="G12" s="11">
        <v>136</v>
      </c>
      <c r="H12" s="11">
        <v>0.6</v>
      </c>
      <c r="I12" s="11">
        <v>0</v>
      </c>
      <c r="J12" s="12">
        <v>33</v>
      </c>
    </row>
    <row r="13" spans="1:10" x14ac:dyDescent="0.2">
      <c r="A13" s="42"/>
      <c r="B13" s="44" t="s">
        <v>23</v>
      </c>
      <c r="C13" s="76">
        <v>4</v>
      </c>
      <c r="D13" s="77" t="s">
        <v>34</v>
      </c>
      <c r="E13" s="62">
        <v>50</v>
      </c>
      <c r="F13" s="63">
        <f>37.27*50/60</f>
        <v>31.058333333333337</v>
      </c>
      <c r="G13" s="11">
        <f>14.14*55/60</f>
        <v>12.961666666666668</v>
      </c>
      <c r="H13" s="11">
        <f>0.66*55/60</f>
        <v>0.60500000000000009</v>
      </c>
      <c r="I13" s="11">
        <f>0.12*55/60</f>
        <v>0.11</v>
      </c>
      <c r="J13" s="12">
        <f>2.28*55/60</f>
        <v>2.09</v>
      </c>
    </row>
    <row r="14" spans="1:10" x14ac:dyDescent="0.2">
      <c r="A14" s="42"/>
      <c r="B14" s="44" t="s">
        <v>23</v>
      </c>
      <c r="C14" s="76" t="s">
        <v>21</v>
      </c>
      <c r="D14" s="77" t="s">
        <v>46</v>
      </c>
      <c r="E14" s="62">
        <v>40</v>
      </c>
      <c r="F14" s="63">
        <f>225.6*0.04*1.33</f>
        <v>12.00192</v>
      </c>
      <c r="G14" s="16">
        <f>127.12</f>
        <v>127.12</v>
      </c>
      <c r="H14" s="16">
        <f>2.14</f>
        <v>2.14</v>
      </c>
      <c r="I14" s="16">
        <f>2.8</f>
        <v>2.8</v>
      </c>
      <c r="J14" s="53">
        <f>23.34</f>
        <v>23.34</v>
      </c>
    </row>
    <row r="15" spans="1:10" x14ac:dyDescent="0.2">
      <c r="A15" s="42"/>
      <c r="B15" s="43" t="s">
        <v>18</v>
      </c>
      <c r="C15" s="76" t="s">
        <v>21</v>
      </c>
      <c r="D15" s="77" t="s">
        <v>26</v>
      </c>
      <c r="E15" s="98" t="s">
        <v>52</v>
      </c>
      <c r="F15" s="99">
        <v>3.24</v>
      </c>
      <c r="G15" s="11">
        <f>41.6*37/20</f>
        <v>76.960000000000008</v>
      </c>
      <c r="H15" s="11">
        <f>1.6*37/20</f>
        <v>2.96</v>
      </c>
      <c r="I15" s="11">
        <f>0.03*37/20</f>
        <v>5.5499999999999994E-2</v>
      </c>
      <c r="J15" s="12">
        <f>8.02*37/20</f>
        <v>14.837</v>
      </c>
    </row>
    <row r="16" spans="1:10" x14ac:dyDescent="0.2">
      <c r="A16" s="42"/>
      <c r="B16" s="45" t="s">
        <v>17</v>
      </c>
      <c r="C16" s="96" t="s">
        <v>21</v>
      </c>
      <c r="D16" s="97" t="s">
        <v>22</v>
      </c>
      <c r="E16" s="100" t="s">
        <v>53</v>
      </c>
      <c r="F16" s="101">
        <f>60.86*0.036</f>
        <v>2.19096</v>
      </c>
      <c r="G16" s="11">
        <f>40*36/20</f>
        <v>72</v>
      </c>
      <c r="H16" s="11">
        <f>0.98*36/20</f>
        <v>1.764</v>
      </c>
      <c r="I16" s="11">
        <f>0.2*36/20</f>
        <v>0.36</v>
      </c>
      <c r="J16" s="12">
        <f>8.95*36/20</f>
        <v>16.11</v>
      </c>
    </row>
    <row r="17" spans="1:10" ht="15.75" thickBot="1" x14ac:dyDescent="0.25">
      <c r="A17" s="46"/>
      <c r="B17" s="47"/>
      <c r="C17" s="48"/>
      <c r="D17" s="48"/>
      <c r="E17" s="102"/>
      <c r="F17" s="103">
        <f>SUM(F11:F16)</f>
        <v>99.998414545318511</v>
      </c>
      <c r="G17" s="50">
        <f>SUM(G11:G16)</f>
        <v>773.8416666666667</v>
      </c>
      <c r="H17" s="50">
        <f>SUM(H11:H16)</f>
        <v>23.959000000000003</v>
      </c>
      <c r="I17" s="50">
        <f>SUM(I11:I16)</f>
        <v>23.595499999999998</v>
      </c>
      <c r="J17" s="51">
        <f>SUM(J11:J16)</f>
        <v>115.087</v>
      </c>
    </row>
    <row r="18" spans="1:10" ht="34.9" customHeight="1" x14ac:dyDescent="0.2">
      <c r="A18" s="40"/>
      <c r="B18" s="52" t="s">
        <v>14</v>
      </c>
      <c r="C18" s="82">
        <v>22</v>
      </c>
      <c r="D18" s="83" t="s">
        <v>39</v>
      </c>
      <c r="E18" s="68" t="s">
        <v>63</v>
      </c>
      <c r="F18" s="66">
        <f>10.66*240/250+2.45+9.8*1</f>
        <v>22.483600000000003</v>
      </c>
      <c r="G18" s="14">
        <v>198.5</v>
      </c>
      <c r="H18" s="14">
        <v>1.75</v>
      </c>
      <c r="I18" s="14">
        <v>6.05</v>
      </c>
      <c r="J18" s="15">
        <v>11.86</v>
      </c>
    </row>
    <row r="19" spans="1:10" x14ac:dyDescent="0.2">
      <c r="A19" s="42"/>
      <c r="B19" s="43" t="s">
        <v>15</v>
      </c>
      <c r="C19" s="76">
        <v>34</v>
      </c>
      <c r="D19" s="77" t="s">
        <v>33</v>
      </c>
      <c r="E19" s="67" t="s">
        <v>60</v>
      </c>
      <c r="F19" s="63">
        <f>32.26*35/67+13.57*165/133</f>
        <v>33.687201211985183</v>
      </c>
      <c r="G19" s="11">
        <v>436</v>
      </c>
      <c r="H19" s="11">
        <v>19.87</v>
      </c>
      <c r="I19" s="11">
        <v>25.33</v>
      </c>
      <c r="J19" s="12">
        <v>32.130000000000003</v>
      </c>
    </row>
    <row r="20" spans="1:10" x14ac:dyDescent="0.2">
      <c r="A20" s="42"/>
      <c r="B20" s="43" t="s">
        <v>25</v>
      </c>
      <c r="C20" s="80">
        <v>25</v>
      </c>
      <c r="D20" s="81" t="s">
        <v>45</v>
      </c>
      <c r="E20" s="67" t="s">
        <v>44</v>
      </c>
      <c r="F20" s="63">
        <v>17.82</v>
      </c>
      <c r="G20" s="11">
        <v>136</v>
      </c>
      <c r="H20" s="11">
        <v>0.6</v>
      </c>
      <c r="I20" s="11">
        <v>0</v>
      </c>
      <c r="J20" s="12">
        <v>33</v>
      </c>
    </row>
    <row r="21" spans="1:10" x14ac:dyDescent="0.2">
      <c r="A21" s="42"/>
      <c r="B21" s="44" t="s">
        <v>23</v>
      </c>
      <c r="C21" s="76">
        <v>4</v>
      </c>
      <c r="D21" s="77" t="s">
        <v>34</v>
      </c>
      <c r="E21" s="62">
        <v>55</v>
      </c>
      <c r="F21" s="63">
        <f>37.27*55/60</f>
        <v>34.164166666666674</v>
      </c>
      <c r="G21" s="11">
        <f>14.14*45/60</f>
        <v>10.605</v>
      </c>
      <c r="H21" s="11">
        <f>0.66*45/60</f>
        <v>0.49500000000000005</v>
      </c>
      <c r="I21" s="11">
        <f>0.12*45/60</f>
        <v>0.09</v>
      </c>
      <c r="J21" s="12">
        <f>2.28*45/60</f>
        <v>1.71</v>
      </c>
    </row>
    <row r="22" spans="1:10" x14ac:dyDescent="0.2">
      <c r="A22" s="42"/>
      <c r="B22" s="43" t="s">
        <v>18</v>
      </c>
      <c r="C22" s="76" t="s">
        <v>21</v>
      </c>
      <c r="D22" s="77" t="s">
        <v>26</v>
      </c>
      <c r="E22" s="98" t="s">
        <v>64</v>
      </c>
      <c r="F22" s="99">
        <v>2.9</v>
      </c>
      <c r="G22" s="11">
        <f>83.2*33/40</f>
        <v>68.64</v>
      </c>
      <c r="H22" s="11">
        <f>3.2*33/30</f>
        <v>3.5200000000000005</v>
      </c>
      <c r="I22" s="11">
        <f>0.06*33/30</f>
        <v>6.6000000000000003E-2</v>
      </c>
      <c r="J22" s="12">
        <f>16.04*33/30</f>
        <v>17.643999999999998</v>
      </c>
    </row>
    <row r="23" spans="1:10" x14ac:dyDescent="0.2">
      <c r="A23" s="42"/>
      <c r="B23" s="45" t="s">
        <v>17</v>
      </c>
      <c r="C23" s="96" t="s">
        <v>21</v>
      </c>
      <c r="D23" s="97" t="s">
        <v>22</v>
      </c>
      <c r="E23" s="100" t="s">
        <v>56</v>
      </c>
      <c r="F23" s="101">
        <f>60.86*0.032</f>
        <v>1.9475199999999999</v>
      </c>
      <c r="G23" s="11">
        <f>80*32/30</f>
        <v>85.333333333333329</v>
      </c>
      <c r="H23" s="11">
        <f>1.96*32/30</f>
        <v>2.0906666666666665</v>
      </c>
      <c r="I23" s="11">
        <f>0.4*32/30</f>
        <v>0.42666666666666669</v>
      </c>
      <c r="J23" s="12">
        <f>17.92*32/30</f>
        <v>19.114666666666668</v>
      </c>
    </row>
    <row r="24" spans="1:10" x14ac:dyDescent="0.2">
      <c r="A24" s="42"/>
      <c r="B24" s="45"/>
      <c r="C24" s="76" t="s">
        <v>21</v>
      </c>
      <c r="D24" s="77" t="s">
        <v>46</v>
      </c>
      <c r="E24" s="62">
        <v>40</v>
      </c>
      <c r="F24" s="63">
        <f>225.6*0.04*1.33</f>
        <v>12.00192</v>
      </c>
      <c r="G24" s="16">
        <f>127.12</f>
        <v>127.12</v>
      </c>
      <c r="H24" s="16">
        <f>2.14</f>
        <v>2.14</v>
      </c>
      <c r="I24" s="16">
        <f>2.8</f>
        <v>2.8</v>
      </c>
      <c r="J24" s="53">
        <f>23.34</f>
        <v>23.34</v>
      </c>
    </row>
    <row r="25" spans="1:10" ht="15.75" thickBot="1" x14ac:dyDescent="0.25">
      <c r="A25" s="46"/>
      <c r="B25" s="47"/>
      <c r="C25" s="48"/>
      <c r="D25" s="48"/>
      <c r="E25" s="49"/>
      <c r="F25" s="104">
        <f>SUM(F18:F24)</f>
        <v>125.00440787865186</v>
      </c>
      <c r="G25" s="50">
        <f>SUM(G18:G24)</f>
        <v>1062.1983333333333</v>
      </c>
      <c r="H25" s="50">
        <f>SUM(H18:H24)</f>
        <v>30.465666666666671</v>
      </c>
      <c r="I25" s="50">
        <f>SUM(I18:I24)</f>
        <v>34.762666666666661</v>
      </c>
      <c r="J25" s="51">
        <f>SUM(J18:J24)</f>
        <v>138.79866666666666</v>
      </c>
    </row>
    <row r="26" spans="1:10" customFormat="1" x14ac:dyDescent="0.2">
      <c r="E26" s="20"/>
    </row>
    <row r="27" spans="1:10" customFormat="1" x14ac:dyDescent="0.2">
      <c r="A27" s="28" t="s">
        <v>30</v>
      </c>
      <c r="E27" s="20"/>
    </row>
    <row r="28" spans="1:10" customFormat="1" x14ac:dyDescent="0.2">
      <c r="E28" s="20"/>
    </row>
    <row r="29" spans="1:10" customFormat="1" x14ac:dyDescent="0.2">
      <c r="A29" s="28" t="s">
        <v>31</v>
      </c>
      <c r="E29" s="20"/>
    </row>
    <row r="30" spans="1:10" customFormat="1" x14ac:dyDescent="0.2">
      <c r="E30" s="20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scale="99" orientation="portrait" r:id="rId1"/>
  <ignoredErrors>
    <ignoredError sqref="G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2023-04-12T01:08:13Z</cp:lastPrinted>
  <dcterms:created xsi:type="dcterms:W3CDTF">2015-06-05T18:19:34Z</dcterms:created>
  <dcterms:modified xsi:type="dcterms:W3CDTF">2023-05-16T01:14:44Z</dcterms:modified>
</cp:coreProperties>
</file>