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AFAEC71E-A70A-43BC-954E-BA9C78E09ED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8" i="2" s="1"/>
  <c r="I27" i="2"/>
  <c r="I28" i="2" s="1"/>
  <c r="H27" i="2"/>
  <c r="H28" i="2" s="1"/>
  <c r="G27" i="2"/>
  <c r="G28" i="2" s="1"/>
  <c r="F25" i="2"/>
  <c r="F28" i="2" s="1"/>
  <c r="F19" i="2"/>
  <c r="F18" i="2"/>
  <c r="J16" i="2"/>
  <c r="I16" i="2"/>
  <c r="H16" i="2"/>
  <c r="G16" i="2"/>
  <c r="J15" i="2"/>
  <c r="I15" i="2"/>
  <c r="H15" i="2"/>
  <c r="G15" i="2"/>
  <c r="G13" i="2"/>
  <c r="F15" i="2"/>
  <c r="F13" i="2"/>
  <c r="F12" i="2"/>
  <c r="F39" i="1"/>
  <c r="F43" i="1"/>
  <c r="F44" i="1"/>
  <c r="J39" i="1"/>
  <c r="I39" i="1"/>
  <c r="H39" i="1"/>
  <c r="G39" i="1"/>
  <c r="F41" i="1"/>
  <c r="F19" i="1"/>
  <c r="F40" i="1"/>
  <c r="F18" i="1"/>
  <c r="F23" i="2"/>
  <c r="F22" i="2"/>
  <c r="J10" i="2"/>
  <c r="I10" i="2"/>
  <c r="H10" i="2"/>
  <c r="G10" i="2"/>
  <c r="J9" i="2"/>
  <c r="I9" i="2"/>
  <c r="H9" i="2"/>
  <c r="G9" i="2"/>
  <c r="F10" i="2"/>
  <c r="F9" i="2"/>
  <c r="F6" i="2"/>
  <c r="J6" i="2"/>
  <c r="I6" i="2"/>
  <c r="H6" i="2"/>
  <c r="G6" i="2"/>
  <c r="J35" i="1"/>
  <c r="I35" i="1"/>
  <c r="H35" i="1"/>
  <c r="G35" i="1"/>
  <c r="F37" i="1"/>
  <c r="F35" i="1"/>
  <c r="J32" i="1"/>
  <c r="I32" i="1"/>
  <c r="H32" i="1"/>
  <c r="G32" i="1"/>
  <c r="F32" i="1"/>
  <c r="J28" i="1"/>
  <c r="I28" i="1"/>
  <c r="H28" i="1"/>
  <c r="G28" i="1"/>
  <c r="F28" i="1"/>
  <c r="F10" i="1"/>
  <c r="F17" i="1"/>
  <c r="F22" i="1"/>
  <c r="F21" i="1"/>
  <c r="J15" i="1"/>
  <c r="I15" i="1"/>
  <c r="H15" i="1"/>
  <c r="G15" i="1"/>
  <c r="F15" i="1"/>
  <c r="J13" i="1"/>
  <c r="I13" i="1"/>
  <c r="H13" i="1"/>
  <c r="G13" i="1"/>
  <c r="F13" i="1"/>
  <c r="F6" i="1"/>
  <c r="J9" i="1"/>
  <c r="I9" i="1"/>
  <c r="H9" i="1"/>
  <c r="G9" i="1"/>
  <c r="J10" i="1"/>
  <c r="I10" i="1"/>
  <c r="H10" i="1"/>
  <c r="G10" i="1"/>
  <c r="J21" i="2"/>
  <c r="I21" i="2"/>
  <c r="H21" i="2"/>
  <c r="G21" i="2"/>
  <c r="F21" i="2"/>
  <c r="J13" i="2"/>
  <c r="I13" i="2"/>
  <c r="H13" i="2"/>
  <c r="J37" i="1"/>
  <c r="I37" i="1"/>
  <c r="H37" i="1"/>
  <c r="G37" i="1"/>
  <c r="F36" i="1"/>
  <c r="J31" i="1"/>
  <c r="I31" i="1"/>
  <c r="H31" i="1"/>
  <c r="G31" i="1"/>
  <c r="J29" i="1"/>
  <c r="I29" i="1"/>
  <c r="H29" i="1"/>
  <c r="G29" i="1"/>
  <c r="F29" i="1"/>
  <c r="G22" i="1"/>
  <c r="J22" i="1"/>
  <c r="I22" i="1"/>
  <c r="H22" i="1"/>
  <c r="J21" i="1"/>
  <c r="I21" i="1"/>
  <c r="H21" i="1"/>
  <c r="G21" i="1"/>
  <c r="F14" i="1"/>
  <c r="F7" i="2"/>
  <c r="F9" i="1"/>
  <c r="G14" i="1"/>
  <c r="H14" i="1"/>
  <c r="I14" i="1"/>
  <c r="F8" i="2"/>
  <c r="F30" i="1"/>
  <c r="F8" i="1"/>
  <c r="F7" i="1"/>
  <c r="G33" i="1" l="1"/>
  <c r="F17" i="2"/>
  <c r="F33" i="1"/>
  <c r="G17" i="2"/>
  <c r="J17" i="2" l="1"/>
  <c r="I17" i="2"/>
  <c r="H17" i="2"/>
  <c r="J8" i="2" l="1"/>
  <c r="I8" i="2"/>
  <c r="H8" i="2"/>
  <c r="G8" i="2"/>
  <c r="J7" i="2"/>
  <c r="I7" i="2"/>
  <c r="H7" i="2"/>
  <c r="G7" i="2"/>
  <c r="G24" i="2"/>
  <c r="H45" i="1" l="1"/>
  <c r="G45" i="1"/>
  <c r="J36" i="1"/>
  <c r="I36" i="1"/>
  <c r="H36" i="1"/>
  <c r="G36" i="1"/>
  <c r="I33" i="1"/>
  <c r="J14" i="1"/>
  <c r="J8" i="1"/>
  <c r="I8" i="1"/>
  <c r="H8" i="1"/>
  <c r="G8" i="1"/>
  <c r="J7" i="1"/>
  <c r="I7" i="1"/>
  <c r="H7" i="1"/>
  <c r="G7" i="1"/>
  <c r="G11" i="1" s="1"/>
  <c r="H11" i="1" l="1"/>
  <c r="I45" i="1"/>
  <c r="J45" i="1"/>
  <c r="H33" i="1"/>
  <c r="J33" i="1"/>
  <c r="I11" i="2"/>
  <c r="G11" i="2"/>
  <c r="H11" i="2"/>
  <c r="J11" i="2"/>
  <c r="H38" i="1" l="1"/>
  <c r="J38" i="1"/>
  <c r="I38" i="1"/>
  <c r="G38" i="1"/>
  <c r="J24" i="2" l="1"/>
  <c r="I24" i="2" l="1"/>
  <c r="H24" i="2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<sst xmlns="http://schemas.openxmlformats.org/spreadsheetml/2006/main" count="215" uniqueCount="59">
  <si>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</si>
  <si>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</si>
  <si>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</si>
  <si>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</si>
  <si>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</si>
  <si>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</si>
  <si>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</si>
  <si>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</si>
  <si>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</si>
  <si>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</si>
  <si>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</si>
  <si>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</si>
  <si>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</si>
  <si>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</si>
  <si>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</si>
  <si>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</si>
  <si>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</si>
  <si>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</si>
  <si>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</si>
  <si>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</si>
  <si>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</si>
  <si>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</si>
  <si>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</si>
  <si>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</si>
  <si>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</si>
  <si>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</si>
  <si>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</si>
  <si>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</si>
  <si>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</si>
  <si>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</si>
  <si>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</si>
  <si>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</si>
  <si>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</si>
  <si>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</si>
  <si>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</si>
  <si>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</si>
  <si>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</si>
  <si>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</si>
  <si>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</si>
  <si>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</si>
  <si>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</si>
  <si>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</si>
  <si>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</si>
  <si>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</si>
  <si>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Каша жидкая молочная пшенная</t>
  </si>
  <si>
    <t>160/40</t>
  </si>
  <si>
    <t>Какао с молоком</t>
  </si>
  <si>
    <t>Творожное печенье</t>
  </si>
  <si>
    <t>250/10</t>
  </si>
  <si>
    <t>40</t>
  </si>
  <si>
    <t>Вафли</t>
  </si>
  <si>
    <t>20</t>
  </si>
  <si>
    <t>60</t>
  </si>
  <si>
    <t>30</t>
  </si>
  <si>
    <t>170/30</t>
  </si>
  <si>
    <t>70</t>
  </si>
  <si>
    <t>21</t>
  </si>
  <si>
    <t>36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</si>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</sst>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 applyProtection="1">
      <protection locked="0"/>
    </xf>
    <xf numFmtId="0" fontId="3" fillId="0" borderId="15" xfId="0" applyFont="1" applyBorder="1"/>
    <xf numFmtId="2" fontId="3" fillId="0" borderId="15" xfId="0" applyNumberFormat="1" applyFont="1" applyBorder="1"/>
    <xf numFmtId="2" fontId="3" fillId="0" borderId="16" xfId="0" applyNumberFormat="1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0" fontId="8" fillId="0" borderId="15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8" fillId="0" borderId="15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21" xfId="0" applyNumberFormat="1" applyBorder="1" applyProtection="1"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0" fontId="0" fillId="0" borderId="28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H2" sqref="H2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6" bestFit="1" customWidth="1"/>
    <col min="6" max="6" width="8.28515625" style="16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0" t="s">
        <v>58</v>
      </c>
      <c r="C1" s="101"/>
      <c r="D1" s="102"/>
      <c r="E1" s="16" t="s">
        <v>26</v>
      </c>
      <c r="F1" s="15"/>
      <c r="H1" s="84">
        <v>45051</v>
      </c>
      <c r="I1" s="14"/>
      <c r="J1" s="84"/>
    </row>
    <row r="2" spans="1:10" ht="15.75" thickBot="1" x14ac:dyDescent="0.3">
      <c r="B2" s="1" t="s">
        <v>25</v>
      </c>
    </row>
    <row r="3" spans="1:10" s="17" customFormat="1" ht="30.75" thickBot="1" x14ac:dyDescent="0.3">
      <c r="A3" s="86" t="s">
        <v>1</v>
      </c>
      <c r="B3" s="87" t="s">
        <v>2</v>
      </c>
      <c r="C3" s="87" t="s">
        <v>18</v>
      </c>
      <c r="D3" s="87" t="s">
        <v>3</v>
      </c>
      <c r="E3" s="88" t="s">
        <v>19</v>
      </c>
      <c r="F3" s="88" t="s">
        <v>4</v>
      </c>
      <c r="G3" s="89" t="s">
        <v>5</v>
      </c>
      <c r="H3" s="87" t="s">
        <v>6</v>
      </c>
      <c r="I3" s="87" t="s">
        <v>7</v>
      </c>
      <c r="J3" s="90" t="s">
        <v>8</v>
      </c>
    </row>
    <row r="4" spans="1:10" ht="30" x14ac:dyDescent="0.25">
      <c r="A4" s="6" t="s">
        <v>9</v>
      </c>
      <c r="B4" s="91" t="s">
        <v>10</v>
      </c>
      <c r="C4" s="74">
        <v>43</v>
      </c>
      <c r="D4" s="75" t="s">
        <v>44</v>
      </c>
      <c r="E4" s="77" t="s">
        <v>34</v>
      </c>
      <c r="F4" s="77">
        <v>17.809999999999999</v>
      </c>
      <c r="G4" s="12">
        <v>224.62</v>
      </c>
      <c r="H4" s="12">
        <v>5.64</v>
      </c>
      <c r="I4" s="12">
        <v>7.5</v>
      </c>
      <c r="J4" s="32">
        <v>33.94</v>
      </c>
    </row>
    <row r="5" spans="1:10" ht="15.75" x14ac:dyDescent="0.25">
      <c r="A5" s="6"/>
      <c r="B5" s="92" t="s">
        <v>11</v>
      </c>
      <c r="C5" s="74">
        <v>36</v>
      </c>
      <c r="D5" s="75" t="s">
        <v>46</v>
      </c>
      <c r="E5" s="77" t="s">
        <v>34</v>
      </c>
      <c r="F5" s="77">
        <v>14.41</v>
      </c>
      <c r="G5" s="12">
        <v>117</v>
      </c>
      <c r="H5" s="12">
        <v>4.45</v>
      </c>
      <c r="I5" s="12">
        <v>3.6</v>
      </c>
      <c r="J5" s="32">
        <v>16.149999999999999</v>
      </c>
    </row>
    <row r="6" spans="1:10" ht="15.75" x14ac:dyDescent="0.25">
      <c r="A6" s="6"/>
      <c r="B6" s="26" t="s">
        <v>33</v>
      </c>
      <c r="C6" s="45">
        <v>6</v>
      </c>
      <c r="D6" s="46" t="s">
        <v>36</v>
      </c>
      <c r="E6" s="39">
        <v>12</v>
      </c>
      <c r="F6" s="65">
        <f>10.02*12/12</f>
        <v>10.02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26" t="s">
        <v>33</v>
      </c>
      <c r="C7" s="45">
        <v>3</v>
      </c>
      <c r="D7" s="46" t="s">
        <v>32</v>
      </c>
      <c r="E7" s="39">
        <v>10</v>
      </c>
      <c r="F7" s="65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26" t="s">
        <v>33</v>
      </c>
      <c r="C8" s="73" t="s">
        <v>20</v>
      </c>
      <c r="D8" s="46" t="s">
        <v>47</v>
      </c>
      <c r="E8" s="39">
        <v>38</v>
      </c>
      <c r="F8" s="65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6" t="s">
        <v>16</v>
      </c>
      <c r="C9" s="45" t="s">
        <v>20</v>
      </c>
      <c r="D9" s="46" t="s">
        <v>21</v>
      </c>
      <c r="E9" s="39">
        <v>20</v>
      </c>
      <c r="F9" s="65">
        <f>50.71*0.02</f>
        <v>1.0142</v>
      </c>
      <c r="G9" s="8">
        <f>40*20/20</f>
        <v>40</v>
      </c>
      <c r="H9" s="8">
        <f>0.98*20/20</f>
        <v>0.98000000000000009</v>
      </c>
      <c r="I9" s="8">
        <f>0.2/20*20</f>
        <v>0.2</v>
      </c>
      <c r="J9" s="9">
        <f>8.95/20*20</f>
        <v>8.9499999999999993</v>
      </c>
    </row>
    <row r="10" spans="1:10" ht="15.75" x14ac:dyDescent="0.25">
      <c r="A10" s="6"/>
      <c r="B10" s="53" t="s">
        <v>17</v>
      </c>
      <c r="C10" s="45" t="s">
        <v>20</v>
      </c>
      <c r="D10" s="46" t="s">
        <v>37</v>
      </c>
      <c r="E10" s="39">
        <v>20</v>
      </c>
      <c r="F10" s="65">
        <f>96.75*0.02</f>
        <v>1.9350000000000001</v>
      </c>
      <c r="G10" s="8">
        <f>41.6/20*20</f>
        <v>41.6</v>
      </c>
      <c r="H10" s="8">
        <f>1.6/20*20</f>
        <v>1.6</v>
      </c>
      <c r="I10" s="8">
        <f>0.3/20*20</f>
        <v>0.3</v>
      </c>
      <c r="J10" s="9">
        <f>8.02/20*20</f>
        <v>8.02</v>
      </c>
    </row>
    <row r="11" spans="1:10" ht="16.5" thickBot="1" x14ac:dyDescent="0.3">
      <c r="A11" s="58"/>
      <c r="B11" s="59"/>
      <c r="C11" s="60"/>
      <c r="D11" s="61"/>
      <c r="E11" s="62"/>
      <c r="F11" s="69">
        <v>58.52</v>
      </c>
      <c r="G11" s="63">
        <f>SUM(G4:G10)</f>
        <v>668.66</v>
      </c>
      <c r="H11" s="63">
        <f>SUM(H4:H10)</f>
        <v>17.64</v>
      </c>
      <c r="I11" s="63">
        <f>SUM(I4:I10)</f>
        <v>31.39</v>
      </c>
      <c r="J11" s="63">
        <f>SUM(J4:J10)</f>
        <v>71.02</v>
      </c>
    </row>
    <row r="12" spans="1:10" ht="15.75" x14ac:dyDescent="0.25">
      <c r="A12" s="2" t="s">
        <v>22</v>
      </c>
      <c r="B12" s="3" t="s">
        <v>11</v>
      </c>
      <c r="C12" s="47">
        <v>30</v>
      </c>
      <c r="D12" s="48" t="s">
        <v>38</v>
      </c>
      <c r="E12" s="40">
        <v>200</v>
      </c>
      <c r="F12" s="68">
        <v>3.26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26" t="s">
        <v>33</v>
      </c>
      <c r="C13" s="81">
        <v>65</v>
      </c>
      <c r="D13" s="82" t="s">
        <v>39</v>
      </c>
      <c r="E13" s="83">
        <v>130</v>
      </c>
      <c r="F13" s="77">
        <f>15.26*130/100</f>
        <v>19.838000000000001</v>
      </c>
      <c r="G13" s="12">
        <f>235*130/100</f>
        <v>305.5</v>
      </c>
      <c r="H13" s="12">
        <f>8.68*130/100</f>
        <v>11.283999999999999</v>
      </c>
      <c r="I13" s="12">
        <f>5.52*130/100</f>
        <v>7.1759999999999993</v>
      </c>
      <c r="J13" s="32">
        <f>37.79*130/100</f>
        <v>49.126999999999995</v>
      </c>
    </row>
    <row r="14" spans="1:10" ht="15.75" x14ac:dyDescent="0.25">
      <c r="A14" s="6"/>
      <c r="B14" s="26" t="s">
        <v>33</v>
      </c>
      <c r="C14" s="49" t="s">
        <v>20</v>
      </c>
      <c r="D14" s="50" t="s">
        <v>50</v>
      </c>
      <c r="E14" s="41" t="s">
        <v>49</v>
      </c>
      <c r="F14" s="65">
        <f>212.4*0.04</f>
        <v>8.4960000000000004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26" t="s">
        <v>33</v>
      </c>
      <c r="C15" s="45">
        <v>6</v>
      </c>
      <c r="D15" s="46" t="s">
        <v>36</v>
      </c>
      <c r="E15" s="39">
        <v>15</v>
      </c>
      <c r="F15" s="65">
        <f>10.02*15/12</f>
        <v>12.524999999999999</v>
      </c>
      <c r="G15" s="8">
        <f>36*15/12</f>
        <v>45</v>
      </c>
      <c r="H15" s="8">
        <f>1.36*15/12</f>
        <v>1.7000000000000002</v>
      </c>
      <c r="I15" s="8">
        <f>2.76*15/12</f>
        <v>3.4499999999999997</v>
      </c>
      <c r="J15" s="9">
        <f>0.31*15/12</f>
        <v>0.38750000000000001</v>
      </c>
    </row>
    <row r="16" spans="1:10" ht="16.5" thickBot="1" x14ac:dyDescent="0.3">
      <c r="A16" s="54"/>
      <c r="B16" s="34"/>
      <c r="C16" s="55"/>
      <c r="D16" s="56"/>
      <c r="E16" s="57"/>
      <c r="F16" s="70">
        <v>43.9</v>
      </c>
      <c r="G16" s="66">
        <f>SUM(G12:G14)</f>
        <v>481.976</v>
      </c>
      <c r="H16" s="66">
        <f t="shared" ref="H16:J16" si="0">SUM(H12:H14)</f>
        <v>13.595199999999998</v>
      </c>
      <c r="I16" s="66">
        <f t="shared" si="0"/>
        <v>10.125999999999999</v>
      </c>
      <c r="J16" s="67">
        <f t="shared" si="0"/>
        <v>83.858199999999997</v>
      </c>
    </row>
    <row r="17" spans="1:10" ht="15.75" x14ac:dyDescent="0.25">
      <c r="A17" s="2" t="s">
        <v>12</v>
      </c>
      <c r="B17" s="3" t="s">
        <v>13</v>
      </c>
      <c r="C17" s="47">
        <v>21</v>
      </c>
      <c r="D17" s="48" t="s">
        <v>31</v>
      </c>
      <c r="E17" s="38" t="s">
        <v>52</v>
      </c>
      <c r="F17" s="68">
        <f>11.52*60/60</f>
        <v>11.52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49">
        <v>73</v>
      </c>
      <c r="D18" s="50" t="s">
        <v>43</v>
      </c>
      <c r="E18" s="41" t="s">
        <v>48</v>
      </c>
      <c r="F18" s="65">
        <f>19.85*250/250+3.9*10/10</f>
        <v>23.75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49">
        <v>66</v>
      </c>
      <c r="D19" s="50" t="s">
        <v>42</v>
      </c>
      <c r="E19" s="41" t="s">
        <v>54</v>
      </c>
      <c r="F19" s="65">
        <f>36.41*30/50+18.22*170/150</f>
        <v>42.495333333333335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23</v>
      </c>
      <c r="C20" s="49">
        <v>74</v>
      </c>
      <c r="D20" s="50" t="s">
        <v>40</v>
      </c>
      <c r="E20" s="41">
        <v>200</v>
      </c>
      <c r="F20" s="65">
        <v>11.51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17</v>
      </c>
      <c r="C21" s="49" t="s">
        <v>20</v>
      </c>
      <c r="D21" s="50" t="s">
        <v>24</v>
      </c>
      <c r="E21" s="41" t="s">
        <v>53</v>
      </c>
      <c r="F21" s="65">
        <f>74.8*0.03</f>
        <v>2.2439999999999998</v>
      </c>
      <c r="G21" s="8">
        <f>62.4*32/30</f>
        <v>66.56</v>
      </c>
      <c r="H21" s="8">
        <f>2.4*32/30</f>
        <v>2.56</v>
      </c>
      <c r="I21" s="8">
        <f>0.45*32/30</f>
        <v>0.48000000000000004</v>
      </c>
      <c r="J21" s="9">
        <f>11.37*32/30</f>
        <v>12.127999999999998</v>
      </c>
    </row>
    <row r="22" spans="1:10" ht="15.75" x14ac:dyDescent="0.25">
      <c r="A22" s="6"/>
      <c r="B22" s="13" t="s">
        <v>16</v>
      </c>
      <c r="C22" s="51" t="s">
        <v>20</v>
      </c>
      <c r="D22" s="52" t="s">
        <v>21</v>
      </c>
      <c r="E22" s="42" t="s">
        <v>53</v>
      </c>
      <c r="F22" s="71">
        <f>50.71*0.03</f>
        <v>1.5212999999999999</v>
      </c>
      <c r="G22" s="10">
        <f>60*31/30</f>
        <v>62</v>
      </c>
      <c r="H22" s="10">
        <f>1.47*32/30</f>
        <v>1.5680000000000001</v>
      </c>
      <c r="I22" s="10">
        <f>0.3*32/30</f>
        <v>0.32</v>
      </c>
      <c r="J22" s="11">
        <f>13.44*32/30</f>
        <v>14.336</v>
      </c>
    </row>
    <row r="23" spans="1:10" ht="16.5" thickBot="1" x14ac:dyDescent="0.3">
      <c r="A23" s="33"/>
      <c r="B23" s="34"/>
      <c r="C23" s="35"/>
      <c r="D23" s="35"/>
      <c r="E23" s="44"/>
      <c r="F23" s="72">
        <v>87.79</v>
      </c>
      <c r="G23" s="36">
        <f>SUM(G17:G22)</f>
        <v>745.3599999999999</v>
      </c>
      <c r="H23" s="36">
        <f>SUM(H17:H22)</f>
        <v>27.158000000000001</v>
      </c>
      <c r="I23" s="36">
        <f>SUM(I17:I22)</f>
        <v>29.250000000000004</v>
      </c>
      <c r="J23" s="37">
        <f>SUM(J17:J22)</f>
        <v>86.194000000000003</v>
      </c>
    </row>
    <row r="24" spans="1:10" ht="16.5" thickBot="1" x14ac:dyDescent="0.3">
      <c r="B24" s="1" t="s">
        <v>27</v>
      </c>
      <c r="E24" s="43"/>
      <c r="F24" s="43"/>
    </row>
    <row r="25" spans="1:10" ht="30.75" thickBot="1" x14ac:dyDescent="0.3">
      <c r="A25" s="86" t="s">
        <v>1</v>
      </c>
      <c r="B25" s="87" t="s">
        <v>2</v>
      </c>
      <c r="C25" s="87" t="s">
        <v>18</v>
      </c>
      <c r="D25" s="87" t="s">
        <v>3</v>
      </c>
      <c r="E25" s="88" t="s">
        <v>19</v>
      </c>
      <c r="F25" s="88" t="s">
        <v>4</v>
      </c>
      <c r="G25" s="89" t="s">
        <v>5</v>
      </c>
      <c r="H25" s="87" t="s">
        <v>6</v>
      </c>
      <c r="I25" s="87" t="s">
        <v>7</v>
      </c>
      <c r="J25" s="90" t="s">
        <v>8</v>
      </c>
    </row>
    <row r="26" spans="1:10" ht="30" x14ac:dyDescent="0.25">
      <c r="A26" s="6" t="s">
        <v>9</v>
      </c>
      <c r="B26" s="80" t="s">
        <v>10</v>
      </c>
      <c r="C26" s="74">
        <v>43</v>
      </c>
      <c r="D26" s="75" t="s">
        <v>44</v>
      </c>
      <c r="E26" s="77" t="s">
        <v>34</v>
      </c>
      <c r="F26" s="77">
        <v>17.809999999999999</v>
      </c>
      <c r="G26" s="12">
        <v>224.62</v>
      </c>
      <c r="H26" s="12">
        <v>5.64</v>
      </c>
      <c r="I26" s="12">
        <v>7.5</v>
      </c>
      <c r="J26" s="32">
        <v>33.94</v>
      </c>
    </row>
    <row r="27" spans="1:10" ht="15.75" x14ac:dyDescent="0.25">
      <c r="A27" s="6"/>
      <c r="B27" s="79" t="s">
        <v>11</v>
      </c>
      <c r="C27" s="74">
        <v>36</v>
      </c>
      <c r="D27" s="75" t="s">
        <v>46</v>
      </c>
      <c r="E27" s="77" t="s">
        <v>34</v>
      </c>
      <c r="F27" s="77">
        <v>14.41</v>
      </c>
      <c r="G27" s="12">
        <v>117</v>
      </c>
      <c r="H27" s="12">
        <v>4.45</v>
      </c>
      <c r="I27" s="12">
        <v>3.6</v>
      </c>
      <c r="J27" s="32">
        <v>16.149999999999999</v>
      </c>
    </row>
    <row r="28" spans="1:10" ht="15.75" x14ac:dyDescent="0.25">
      <c r="A28" s="6"/>
      <c r="B28" s="26" t="s">
        <v>33</v>
      </c>
      <c r="C28" s="45">
        <v>6</v>
      </c>
      <c r="D28" s="46" t="s">
        <v>36</v>
      </c>
      <c r="E28" s="39">
        <v>15</v>
      </c>
      <c r="F28" s="65">
        <f>12.33*15/15</f>
        <v>12.33</v>
      </c>
      <c r="G28" s="8">
        <f>45*15/15</f>
        <v>45</v>
      </c>
      <c r="H28" s="8">
        <f>3.07*15/15</f>
        <v>3.07</v>
      </c>
      <c r="I28" s="8">
        <f>3.45*15/15</f>
        <v>3.45</v>
      </c>
      <c r="J28" s="9">
        <f>0.38*15/15</f>
        <v>0.38</v>
      </c>
    </row>
    <row r="29" spans="1:10" ht="15.75" x14ac:dyDescent="0.25">
      <c r="A29" s="6"/>
      <c r="B29" s="26" t="s">
        <v>33</v>
      </c>
      <c r="C29" s="45">
        <v>3</v>
      </c>
      <c r="D29" s="46" t="s">
        <v>32</v>
      </c>
      <c r="E29" s="39">
        <v>10</v>
      </c>
      <c r="F29" s="65">
        <f>9.82*10/10</f>
        <v>9.82</v>
      </c>
      <c r="G29" s="8">
        <f>64.7*10/10</f>
        <v>64.7</v>
      </c>
      <c r="H29" s="8">
        <f>0.08*10/10</f>
        <v>0.08</v>
      </c>
      <c r="I29" s="8">
        <f>7.15*10/10</f>
        <v>7.15</v>
      </c>
      <c r="J29" s="9">
        <f>0.12*10/10</f>
        <v>0.12</v>
      </c>
    </row>
    <row r="30" spans="1:10" ht="15.75" x14ac:dyDescent="0.25">
      <c r="A30" s="6"/>
      <c r="B30" s="26" t="s">
        <v>33</v>
      </c>
      <c r="C30" s="73" t="s">
        <v>20</v>
      </c>
      <c r="D30" s="46" t="s">
        <v>47</v>
      </c>
      <c r="E30" s="39">
        <v>57</v>
      </c>
      <c r="F30" s="65">
        <f>150*0.057</f>
        <v>8.5500000000000007</v>
      </c>
      <c r="G30" s="8">
        <v>289.48</v>
      </c>
      <c r="H30" s="8">
        <v>7.06</v>
      </c>
      <c r="I30" s="8">
        <v>19.760000000000002</v>
      </c>
      <c r="J30" s="9">
        <v>7.06</v>
      </c>
    </row>
    <row r="31" spans="1:10" ht="15.75" x14ac:dyDescent="0.25">
      <c r="A31" s="6"/>
      <c r="B31" s="26" t="s">
        <v>16</v>
      </c>
      <c r="C31" s="45" t="s">
        <v>20</v>
      </c>
      <c r="D31" s="46" t="s">
        <v>21</v>
      </c>
      <c r="E31" s="39">
        <v>34</v>
      </c>
      <c r="F31" s="65">
        <v>1.74</v>
      </c>
      <c r="G31" s="8">
        <f>60*34/30</f>
        <v>68</v>
      </c>
      <c r="H31" s="8">
        <f>1.47*34/30</f>
        <v>1.6659999999999999</v>
      </c>
      <c r="I31" s="8">
        <f>0.3*34/30</f>
        <v>0.33999999999999997</v>
      </c>
      <c r="J31" s="9">
        <f>13.44*34/30</f>
        <v>15.231999999999999</v>
      </c>
    </row>
    <row r="32" spans="1:10" ht="15.75" x14ac:dyDescent="0.25">
      <c r="A32" s="6"/>
      <c r="B32" s="53" t="s">
        <v>17</v>
      </c>
      <c r="C32" s="45" t="s">
        <v>20</v>
      </c>
      <c r="D32" s="46" t="s">
        <v>37</v>
      </c>
      <c r="E32" s="39">
        <v>35</v>
      </c>
      <c r="F32" s="65">
        <f>96.75*0.035</f>
        <v>3.3862500000000004</v>
      </c>
      <c r="G32" s="8">
        <f>62.4*35/30</f>
        <v>72.8</v>
      </c>
      <c r="H32" s="8">
        <f>2.4*35/30</f>
        <v>2.8</v>
      </c>
      <c r="I32" s="8">
        <f>0.05*35/30</f>
        <v>5.8333333333333334E-2</v>
      </c>
      <c r="J32" s="9">
        <f>12.03*35/30</f>
        <v>14.034999999999998</v>
      </c>
    </row>
    <row r="33" spans="1:13" ht="16.5" thickBot="1" x14ac:dyDescent="0.3">
      <c r="A33" s="58"/>
      <c r="B33" s="59"/>
      <c r="C33" s="60"/>
      <c r="D33" s="61"/>
      <c r="E33" s="62"/>
      <c r="F33" s="69">
        <f>SUM(F26:F32)</f>
        <v>68.046250000000001</v>
      </c>
      <c r="G33" s="63">
        <f>SUM(G26:G32)</f>
        <v>881.59999999999991</v>
      </c>
      <c r="H33" s="63">
        <f>SUM(H26:H32)</f>
        <v>24.766000000000002</v>
      </c>
      <c r="I33" s="63">
        <f>SUM(I26:I32)</f>
        <v>41.858333333333341</v>
      </c>
      <c r="J33" s="85">
        <f>SUM(J26:J32)</f>
        <v>86.917000000000002</v>
      </c>
    </row>
    <row r="34" spans="1:13" ht="15.75" x14ac:dyDescent="0.25">
      <c r="A34" s="2" t="s">
        <v>22</v>
      </c>
      <c r="B34" s="3" t="s">
        <v>11</v>
      </c>
      <c r="C34" s="47">
        <v>30</v>
      </c>
      <c r="D34" s="48" t="s">
        <v>38</v>
      </c>
      <c r="E34" s="40">
        <v>200</v>
      </c>
      <c r="F34" s="68">
        <v>3.26</v>
      </c>
      <c r="G34" s="4">
        <v>43</v>
      </c>
      <c r="H34" s="4">
        <v>0.06</v>
      </c>
      <c r="I34" s="4">
        <v>0.01</v>
      </c>
      <c r="J34" s="5">
        <v>10.220000000000001</v>
      </c>
    </row>
    <row r="35" spans="1:13" ht="15.75" x14ac:dyDescent="0.25">
      <c r="A35" s="6"/>
      <c r="B35" s="26" t="s">
        <v>33</v>
      </c>
      <c r="C35" s="81">
        <v>65</v>
      </c>
      <c r="D35" s="82" t="s">
        <v>39</v>
      </c>
      <c r="E35" s="83">
        <v>150</v>
      </c>
      <c r="F35" s="77">
        <f>15.26*150/100</f>
        <v>22.89</v>
      </c>
      <c r="G35" s="12">
        <f>235*150/100</f>
        <v>352.5</v>
      </c>
      <c r="H35" s="12">
        <f>8.68*150/100</f>
        <v>13.02</v>
      </c>
      <c r="I35" s="12">
        <f>5.52*150/100</f>
        <v>8.2799999999999994</v>
      </c>
      <c r="J35" s="32">
        <f>37.78*150/100</f>
        <v>56.67</v>
      </c>
    </row>
    <row r="36" spans="1:13" ht="15.75" x14ac:dyDescent="0.25">
      <c r="A36" s="6"/>
      <c r="B36" s="26" t="s">
        <v>33</v>
      </c>
      <c r="C36" s="49" t="s">
        <v>20</v>
      </c>
      <c r="D36" s="50" t="s">
        <v>50</v>
      </c>
      <c r="E36" s="41" t="s">
        <v>49</v>
      </c>
      <c r="F36" s="65">
        <f>212.4*0.04</f>
        <v>8.4960000000000004</v>
      </c>
      <c r="G36" s="8">
        <f>158.9*42/50</f>
        <v>133.476</v>
      </c>
      <c r="H36" s="8">
        <f>2.68*42/50</f>
        <v>2.2511999999999999</v>
      </c>
      <c r="I36" s="8">
        <f>3.5*42/50</f>
        <v>2.94</v>
      </c>
      <c r="J36" s="9">
        <f>29.18*42/50</f>
        <v>24.511199999999999</v>
      </c>
    </row>
    <row r="37" spans="1:13" ht="15.75" x14ac:dyDescent="0.25">
      <c r="A37" s="6"/>
      <c r="B37" s="26" t="s">
        <v>33</v>
      </c>
      <c r="C37" s="45">
        <v>6</v>
      </c>
      <c r="D37" s="46" t="s">
        <v>36</v>
      </c>
      <c r="E37" s="39">
        <v>20</v>
      </c>
      <c r="F37" s="65">
        <f>10.02*20/12</f>
        <v>16.7</v>
      </c>
      <c r="G37" s="8">
        <f>45*20/12</f>
        <v>75</v>
      </c>
      <c r="H37" s="8">
        <f>3.07*20/12</f>
        <v>5.1166666666666663</v>
      </c>
      <c r="I37" s="8">
        <f>3.45*20/12</f>
        <v>5.75</v>
      </c>
      <c r="J37" s="9">
        <f>0.38*20/12</f>
        <v>0.6333333333333333</v>
      </c>
    </row>
    <row r="38" spans="1:13" ht="16.5" thickBot="1" x14ac:dyDescent="0.3">
      <c r="A38" s="54"/>
      <c r="B38" s="34"/>
      <c r="C38" s="55"/>
      <c r="D38" s="56"/>
      <c r="E38" s="57"/>
      <c r="F38" s="70">
        <v>51.02</v>
      </c>
      <c r="G38" s="66">
        <f>SUM(G34:G36)</f>
        <v>528.976</v>
      </c>
      <c r="H38" s="66">
        <f t="shared" ref="H38:J38" si="1">SUM(H34:H36)</f>
        <v>15.331199999999999</v>
      </c>
      <c r="I38" s="66">
        <f t="shared" si="1"/>
        <v>11.229999999999999</v>
      </c>
      <c r="J38" s="67">
        <f t="shared" si="1"/>
        <v>91.401200000000003</v>
      </c>
    </row>
    <row r="39" spans="1:13" ht="15.75" x14ac:dyDescent="0.25">
      <c r="A39" s="2" t="s">
        <v>12</v>
      </c>
      <c r="B39" s="3" t="s">
        <v>13</v>
      </c>
      <c r="C39" s="47">
        <v>21</v>
      </c>
      <c r="D39" s="48" t="s">
        <v>31</v>
      </c>
      <c r="E39" s="38" t="s">
        <v>55</v>
      </c>
      <c r="F39" s="68">
        <f>19.2*70/100</f>
        <v>13.44</v>
      </c>
      <c r="G39" s="4">
        <f>88.8*70/60</f>
        <v>103.6</v>
      </c>
      <c r="H39" s="4">
        <f>1.02*70/60</f>
        <v>1.1900000000000002</v>
      </c>
      <c r="I39" s="4">
        <f>7.98*70/60</f>
        <v>9.31</v>
      </c>
      <c r="J39" s="5">
        <f>3.06*70/60</f>
        <v>3.5700000000000003</v>
      </c>
    </row>
    <row r="40" spans="1:13" ht="30" x14ac:dyDescent="0.25">
      <c r="A40" s="6"/>
      <c r="B40" s="7" t="s">
        <v>14</v>
      </c>
      <c r="C40" s="49">
        <v>73</v>
      </c>
      <c r="D40" s="50" t="s">
        <v>43</v>
      </c>
      <c r="E40" s="41" t="s">
        <v>48</v>
      </c>
      <c r="F40" s="65">
        <f>19.85*250/250+3.9*10/10</f>
        <v>23.75</v>
      </c>
      <c r="G40" s="8">
        <v>206</v>
      </c>
      <c r="H40" s="8">
        <v>10.31</v>
      </c>
      <c r="I40" s="8">
        <v>7.55</v>
      </c>
      <c r="J40" s="9">
        <v>18.48</v>
      </c>
      <c r="M40" t="s">
        <v>35</v>
      </c>
    </row>
    <row r="41" spans="1:13" ht="15.75" x14ac:dyDescent="0.25">
      <c r="A41" s="6"/>
      <c r="B41" s="7" t="s">
        <v>15</v>
      </c>
      <c r="C41" s="49">
        <v>66</v>
      </c>
      <c r="D41" s="50" t="s">
        <v>42</v>
      </c>
      <c r="E41" s="41" t="s">
        <v>45</v>
      </c>
      <c r="F41" s="65">
        <f>36.41*40/50+18.22*160/150</f>
        <v>48.562666666666658</v>
      </c>
      <c r="G41" s="8">
        <v>235</v>
      </c>
      <c r="H41" s="8">
        <v>10.66</v>
      </c>
      <c r="I41" s="8">
        <v>12.92</v>
      </c>
      <c r="J41" s="9">
        <v>17.21</v>
      </c>
    </row>
    <row r="42" spans="1:13" ht="15.75" x14ac:dyDescent="0.25">
      <c r="A42" s="6"/>
      <c r="B42" s="7" t="s">
        <v>23</v>
      </c>
      <c r="C42" s="49">
        <v>74</v>
      </c>
      <c r="D42" s="50" t="s">
        <v>40</v>
      </c>
      <c r="E42" s="41">
        <v>200</v>
      </c>
      <c r="F42" s="65">
        <v>11.51</v>
      </c>
      <c r="G42" s="8">
        <v>87</v>
      </c>
      <c r="H42" s="8">
        <v>1.04</v>
      </c>
      <c r="I42" s="8">
        <v>0</v>
      </c>
      <c r="J42" s="9">
        <v>20.98</v>
      </c>
    </row>
    <row r="43" spans="1:13" ht="15.75" x14ac:dyDescent="0.25">
      <c r="A43" s="6"/>
      <c r="B43" s="7" t="s">
        <v>17</v>
      </c>
      <c r="C43" s="49" t="s">
        <v>20</v>
      </c>
      <c r="D43" s="50" t="s">
        <v>24</v>
      </c>
      <c r="E43" s="41" t="s">
        <v>49</v>
      </c>
      <c r="F43" s="65">
        <f>74.8*0.04</f>
        <v>2.992</v>
      </c>
      <c r="G43" s="8">
        <v>83.2</v>
      </c>
      <c r="H43" s="8">
        <v>3.2</v>
      </c>
      <c r="I43" s="8">
        <v>0.06</v>
      </c>
      <c r="J43" s="9">
        <v>16.04</v>
      </c>
    </row>
    <row r="44" spans="1:13" ht="15.75" x14ac:dyDescent="0.25">
      <c r="A44" s="6"/>
      <c r="B44" s="13" t="s">
        <v>16</v>
      </c>
      <c r="C44" s="51" t="s">
        <v>20</v>
      </c>
      <c r="D44" s="52" t="s">
        <v>21</v>
      </c>
      <c r="E44" s="42" t="s">
        <v>49</v>
      </c>
      <c r="F44" s="71">
        <f>50.71*0.04</f>
        <v>2.0284</v>
      </c>
      <c r="G44" s="10">
        <v>80</v>
      </c>
      <c r="H44" s="10">
        <v>1.96</v>
      </c>
      <c r="I44" s="10">
        <v>0.4</v>
      </c>
      <c r="J44" s="11">
        <v>17.920000000000002</v>
      </c>
    </row>
    <row r="45" spans="1:13" s="19" customFormat="1" ht="16.5" thickBot="1" x14ac:dyDescent="0.3">
      <c r="A45" s="33"/>
      <c r="B45" s="34"/>
      <c r="C45" s="35"/>
      <c r="D45" s="35"/>
      <c r="E45" s="44"/>
      <c r="F45" s="72">
        <v>102.06</v>
      </c>
      <c r="G45" s="36">
        <f>SUM(G39:G44)</f>
        <v>794.80000000000007</v>
      </c>
      <c r="H45" s="36">
        <f>SUM(H39:H44)</f>
        <v>28.36</v>
      </c>
      <c r="I45" s="36">
        <f>SUM(I39:I44)</f>
        <v>30.24</v>
      </c>
      <c r="J45" s="37">
        <f>SUM(J39:J44)</f>
        <v>94.2</v>
      </c>
    </row>
    <row r="46" spans="1:13" x14ac:dyDescent="0.25">
      <c r="A46" s="18" t="s">
        <v>29</v>
      </c>
    </row>
    <row r="47" spans="1:13" x14ac:dyDescent="0.25">
      <c r="A47" s="18" t="s">
        <v>41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14 F7:F9 F30 G29:J29 G22 G8 F33 F18" unlockedFormula="1"/>
    <ignoredError sqref="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workbookViewId="0">
      <selection activeCell="H1" sqref="H1:H1048576"/>
    </sheetView>
  </sheetViews>
  <sheetFormatPr defaultColWidth="8.85546875" defaultRowHeight="15" x14ac:dyDescent="0.25"/>
  <cols>
    <col min="1" max="1" width="11.7109375" style="19" bestFit="1" customWidth="1"/>
    <col min="2" max="2" width="11.5703125" style="19" customWidth="1"/>
    <col min="3" max="3" width="7.140625" style="19" bestFit="1" customWidth="1"/>
    <col min="4" max="4" width="24.7109375" style="19" bestFit="1" customWidth="1"/>
    <col min="5" max="5" width="8.140625" style="20" bestFit="1" customWidth="1"/>
    <col min="6" max="6" width="7.140625" style="20" bestFit="1" customWidth="1"/>
    <col min="7" max="7" width="7.7109375" style="19" customWidth="1"/>
    <col min="8" max="8" width="10.140625" style="19" bestFit="1" customWidth="1"/>
    <col min="9" max="9" width="6.5703125" style="19" customWidth="1"/>
    <col min="10" max="10" width="10.140625" style="19" bestFit="1" customWidth="1"/>
    <col min="11" max="16384" width="8.85546875" style="19"/>
  </cols>
  <sheetData>
    <row r="1" spans="1:10" ht="28.9" customHeight="1" x14ac:dyDescent="0.25">
      <c r="A1" s="19" t="s">
        <v>0</v>
      </c>
      <c r="B1" s="103" t="s">
        <v>58</v>
      </c>
      <c r="C1" s="104"/>
      <c r="D1" s="105"/>
      <c r="E1" s="20" t="s">
        <v>26</v>
      </c>
      <c r="F1" s="21"/>
      <c r="H1" s="84">
        <v>45051</v>
      </c>
      <c r="I1" s="14"/>
      <c r="J1" s="84"/>
    </row>
    <row r="2" spans="1:10" ht="15.75" thickBot="1" x14ac:dyDescent="0.3">
      <c r="B2" s="22" t="s">
        <v>30</v>
      </c>
    </row>
    <row r="3" spans="1:10" s="23" customFormat="1" ht="30" x14ac:dyDescent="0.25">
      <c r="A3" s="93" t="s">
        <v>1</v>
      </c>
      <c r="B3" s="94" t="s">
        <v>2</v>
      </c>
      <c r="C3" s="94" t="s">
        <v>18</v>
      </c>
      <c r="D3" s="94" t="s">
        <v>3</v>
      </c>
      <c r="E3" s="95" t="s">
        <v>19</v>
      </c>
      <c r="F3" s="95" t="s">
        <v>4</v>
      </c>
      <c r="G3" s="96" t="s">
        <v>5</v>
      </c>
      <c r="H3" s="94" t="s">
        <v>6</v>
      </c>
      <c r="I3" s="94" t="s">
        <v>7</v>
      </c>
      <c r="J3" s="97" t="s">
        <v>8</v>
      </c>
    </row>
    <row r="4" spans="1:10" s="23" customFormat="1" ht="30" x14ac:dyDescent="0.25">
      <c r="A4" s="99" t="s">
        <v>9</v>
      </c>
      <c r="B4" s="7" t="s">
        <v>10</v>
      </c>
      <c r="C4" s="45">
        <v>43</v>
      </c>
      <c r="D4" s="46" t="s">
        <v>44</v>
      </c>
      <c r="E4" s="41" t="s">
        <v>34</v>
      </c>
      <c r="F4" s="65">
        <v>23.68</v>
      </c>
      <c r="G4" s="8">
        <v>224.62</v>
      </c>
      <c r="H4" s="8">
        <v>5.64</v>
      </c>
      <c r="I4" s="8">
        <v>7.5</v>
      </c>
      <c r="J4" s="9">
        <v>33.94</v>
      </c>
    </row>
    <row r="5" spans="1:10" ht="13.9" customHeight="1" x14ac:dyDescent="0.25">
      <c r="A5" s="99"/>
      <c r="B5" s="92" t="s">
        <v>11</v>
      </c>
      <c r="C5" s="45">
        <v>36</v>
      </c>
      <c r="D5" s="46" t="s">
        <v>46</v>
      </c>
      <c r="E5" s="41" t="s">
        <v>34</v>
      </c>
      <c r="F5" s="65">
        <v>19.16</v>
      </c>
      <c r="G5" s="12">
        <v>117</v>
      </c>
      <c r="H5" s="12">
        <v>4.45</v>
      </c>
      <c r="I5" s="12">
        <v>3.6</v>
      </c>
      <c r="J5" s="32">
        <v>16.149999999999999</v>
      </c>
    </row>
    <row r="6" spans="1:10" ht="15.75" x14ac:dyDescent="0.25">
      <c r="A6" s="99"/>
      <c r="B6" s="26" t="s">
        <v>33</v>
      </c>
      <c r="C6" s="45">
        <v>6</v>
      </c>
      <c r="D6" s="46" t="s">
        <v>36</v>
      </c>
      <c r="E6" s="39">
        <v>10</v>
      </c>
      <c r="F6" s="65">
        <f>13.32*10/12</f>
        <v>11.1</v>
      </c>
      <c r="G6" s="8">
        <f>36*10/12</f>
        <v>30</v>
      </c>
      <c r="H6" s="8">
        <f>1.36*10/12</f>
        <v>1.1333333333333335</v>
      </c>
      <c r="I6" s="8">
        <f>2.76*10/12</f>
        <v>2.2999999999999998</v>
      </c>
      <c r="J6" s="9">
        <f>0.31*10/12</f>
        <v>0.25833333333333336</v>
      </c>
    </row>
    <row r="7" spans="1:10" ht="15.75" x14ac:dyDescent="0.25">
      <c r="A7" s="99"/>
      <c r="B7" s="26" t="s">
        <v>33</v>
      </c>
      <c r="C7" s="45">
        <v>3</v>
      </c>
      <c r="D7" s="46" t="s">
        <v>32</v>
      </c>
      <c r="E7" s="39">
        <v>10</v>
      </c>
      <c r="F7" s="65">
        <f>13.06*10/10</f>
        <v>13.059999999999999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99"/>
      <c r="B8" s="26" t="s">
        <v>33</v>
      </c>
      <c r="C8" s="45" t="s">
        <v>20</v>
      </c>
      <c r="D8" s="46" t="s">
        <v>47</v>
      </c>
      <c r="E8" s="39">
        <v>38</v>
      </c>
      <c r="F8" s="65">
        <f>150*0.038*1.33</f>
        <v>7.5810000000000004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99"/>
      <c r="B9" s="26" t="s">
        <v>16</v>
      </c>
      <c r="C9" s="45" t="s">
        <v>20</v>
      </c>
      <c r="D9" s="46" t="s">
        <v>21</v>
      </c>
      <c r="E9" s="39">
        <v>20</v>
      </c>
      <c r="F9" s="65">
        <f>60.86*0.02</f>
        <v>1.2172000000000001</v>
      </c>
      <c r="G9" s="8">
        <f>40*20/20</f>
        <v>40</v>
      </c>
      <c r="H9" s="8">
        <f>0.98*20/20</f>
        <v>0.98000000000000009</v>
      </c>
      <c r="I9" s="8">
        <f>0.2/20*20</f>
        <v>0.2</v>
      </c>
      <c r="J9" s="9">
        <f>8.95/20*20</f>
        <v>8.9499999999999993</v>
      </c>
    </row>
    <row r="10" spans="1:10" ht="15.75" x14ac:dyDescent="0.25">
      <c r="A10" s="99"/>
      <c r="B10" s="53" t="s">
        <v>17</v>
      </c>
      <c r="C10" s="45" t="s">
        <v>20</v>
      </c>
      <c r="D10" s="46" t="s">
        <v>37</v>
      </c>
      <c r="E10" s="39">
        <v>20</v>
      </c>
      <c r="F10" s="65">
        <f>116.1*0.02</f>
        <v>2.3220000000000001</v>
      </c>
      <c r="G10" s="8">
        <f>41.6/20*20</f>
        <v>41.6</v>
      </c>
      <c r="H10" s="8">
        <f>1.6/20*20</f>
        <v>1.6</v>
      </c>
      <c r="I10" s="8">
        <f>0.3/20*20</f>
        <v>0.3</v>
      </c>
      <c r="J10" s="9">
        <f>8.02/20*20</f>
        <v>8.02</v>
      </c>
    </row>
    <row r="11" spans="1:10" ht="16.5" thickBot="1" x14ac:dyDescent="0.3">
      <c r="A11" s="33"/>
      <c r="B11" s="34"/>
      <c r="C11" s="55"/>
      <c r="D11" s="56"/>
      <c r="E11" s="57"/>
      <c r="F11" s="70">
        <v>78</v>
      </c>
      <c r="G11" s="66">
        <f>SUM(G4:G10)</f>
        <v>662.66</v>
      </c>
      <c r="H11" s="66">
        <f>SUM(H4:H10)</f>
        <v>17.413333333333334</v>
      </c>
      <c r="I11" s="66">
        <f>SUM(I4:I10)</f>
        <v>30.93</v>
      </c>
      <c r="J11" s="67">
        <f>SUM(J4:J10)</f>
        <v>70.96833333333332</v>
      </c>
    </row>
    <row r="12" spans="1:10" ht="15.75" x14ac:dyDescent="0.25">
      <c r="A12" s="25"/>
      <c r="B12" s="80" t="s">
        <v>15</v>
      </c>
      <c r="C12" s="81">
        <v>66</v>
      </c>
      <c r="D12" s="82" t="s">
        <v>42</v>
      </c>
      <c r="E12" s="76" t="s">
        <v>45</v>
      </c>
      <c r="F12" s="98">
        <f>48.43*40/50+24.23*160/150</f>
        <v>64.589333333333343</v>
      </c>
      <c r="G12" s="12">
        <v>235</v>
      </c>
      <c r="H12" s="12">
        <v>10.66</v>
      </c>
      <c r="I12" s="12">
        <v>12.92</v>
      </c>
      <c r="J12" s="32">
        <v>17.21</v>
      </c>
    </row>
    <row r="13" spans="1:10" ht="15.75" x14ac:dyDescent="0.25">
      <c r="A13" s="25"/>
      <c r="B13" s="26" t="s">
        <v>33</v>
      </c>
      <c r="C13" s="49" t="s">
        <v>20</v>
      </c>
      <c r="D13" s="50" t="s">
        <v>50</v>
      </c>
      <c r="E13" s="41" t="s">
        <v>52</v>
      </c>
      <c r="F13" s="65">
        <f>212.4*0.06*1.33</f>
        <v>16.94952</v>
      </c>
      <c r="G13" s="8">
        <f>158.9*42/50</f>
        <v>133.476</v>
      </c>
      <c r="H13" s="8">
        <f>2.68*42/50</f>
        <v>2.2511999999999999</v>
      </c>
      <c r="I13" s="8">
        <f>3.5*42/50</f>
        <v>2.94</v>
      </c>
      <c r="J13" s="9">
        <f>29.18*42/50</f>
        <v>24.511199999999999</v>
      </c>
    </row>
    <row r="14" spans="1:10" ht="15.75" x14ac:dyDescent="0.25">
      <c r="A14" s="25"/>
      <c r="B14" s="79" t="s">
        <v>11</v>
      </c>
      <c r="C14" s="49">
        <v>74</v>
      </c>
      <c r="D14" s="50" t="s">
        <v>40</v>
      </c>
      <c r="E14" s="76" t="s">
        <v>34</v>
      </c>
      <c r="F14" s="77">
        <v>15.31</v>
      </c>
      <c r="G14" s="8">
        <v>87</v>
      </c>
      <c r="H14" s="8">
        <v>1.04</v>
      </c>
      <c r="I14" s="8">
        <v>0</v>
      </c>
      <c r="J14" s="9">
        <v>20.98</v>
      </c>
    </row>
    <row r="15" spans="1:10" ht="15.75" x14ac:dyDescent="0.25">
      <c r="A15" s="25"/>
      <c r="B15" s="7" t="s">
        <v>17</v>
      </c>
      <c r="C15" s="49" t="s">
        <v>20</v>
      </c>
      <c r="D15" s="50" t="s">
        <v>24</v>
      </c>
      <c r="E15" s="41" t="s">
        <v>56</v>
      </c>
      <c r="F15" s="65">
        <f>89.76*0.021</f>
        <v>1.8849600000000002</v>
      </c>
      <c r="G15" s="8">
        <f>62.4*21/20</f>
        <v>65.52</v>
      </c>
      <c r="H15" s="8">
        <f>2.4*21/20</f>
        <v>2.52</v>
      </c>
      <c r="I15" s="8">
        <f>0.45*21/20</f>
        <v>0.47250000000000003</v>
      </c>
      <c r="J15" s="9">
        <f>11.37*21/20</f>
        <v>11.938499999999999</v>
      </c>
    </row>
    <row r="16" spans="1:10" ht="15.75" x14ac:dyDescent="0.25">
      <c r="A16" s="25"/>
      <c r="B16" s="13" t="s">
        <v>16</v>
      </c>
      <c r="C16" s="51" t="s">
        <v>20</v>
      </c>
      <c r="D16" s="52" t="s">
        <v>21</v>
      </c>
      <c r="E16" s="42" t="s">
        <v>56</v>
      </c>
      <c r="F16" s="71">
        <v>1.27</v>
      </c>
      <c r="G16" s="10">
        <f>60*21/20</f>
        <v>63</v>
      </c>
      <c r="H16" s="10">
        <f>1.47*21/20</f>
        <v>1.5435000000000001</v>
      </c>
      <c r="I16" s="10">
        <f>0.3*21/20</f>
        <v>0.315</v>
      </c>
      <c r="J16" s="11">
        <f>13.44*21/20</f>
        <v>14.112</v>
      </c>
    </row>
    <row r="17" spans="1:10" ht="16.5" thickBot="1" x14ac:dyDescent="0.3">
      <c r="A17" s="27"/>
      <c r="B17" s="28"/>
      <c r="C17" s="29"/>
      <c r="D17" s="29"/>
      <c r="E17" s="64"/>
      <c r="F17" s="78">
        <f>SUM(F12:F16)</f>
        <v>100.00381333333335</v>
      </c>
      <c r="G17" s="30">
        <f>SUM(G12:G16)</f>
        <v>583.99599999999998</v>
      </c>
      <c r="H17" s="30">
        <f>SUM(H12:H16)</f>
        <v>18.014700000000001</v>
      </c>
      <c r="I17" s="30">
        <f>SUM(I12:I16)</f>
        <v>16.647500000000001</v>
      </c>
      <c r="J17" s="31">
        <f>SUM(J12:J16)</f>
        <v>88.7517</v>
      </c>
    </row>
    <row r="18" spans="1:10" ht="30" x14ac:dyDescent="0.25">
      <c r="A18" s="24"/>
      <c r="B18" s="7" t="s">
        <v>14</v>
      </c>
      <c r="C18" s="49">
        <v>73</v>
      </c>
      <c r="D18" s="50" t="s">
        <v>43</v>
      </c>
      <c r="E18" s="41" t="s">
        <v>48</v>
      </c>
      <c r="F18" s="65">
        <f>26.4*250/250+5.18*10/10</f>
        <v>31.58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25"/>
      <c r="B19" s="7" t="s">
        <v>15</v>
      </c>
      <c r="C19" s="49">
        <v>66</v>
      </c>
      <c r="D19" s="50" t="s">
        <v>42</v>
      </c>
      <c r="E19" s="76" t="s">
        <v>45</v>
      </c>
      <c r="F19" s="98">
        <f>48.43*40/50+24.23*160/150</f>
        <v>64.589333333333343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25"/>
      <c r="B20" s="79" t="s">
        <v>11</v>
      </c>
      <c r="C20" s="49">
        <v>74</v>
      </c>
      <c r="D20" s="50" t="s">
        <v>40</v>
      </c>
      <c r="E20" s="76" t="s">
        <v>34</v>
      </c>
      <c r="F20" s="77">
        <v>15.31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25"/>
      <c r="B21" s="26" t="s">
        <v>33</v>
      </c>
      <c r="C21" s="49" t="s">
        <v>20</v>
      </c>
      <c r="D21" s="50" t="s">
        <v>50</v>
      </c>
      <c r="E21" s="41" t="s">
        <v>49</v>
      </c>
      <c r="F21" s="65">
        <f>212.4*0.04*1.33</f>
        <v>11.29968</v>
      </c>
      <c r="G21" s="8">
        <f>158.9*42/50</f>
        <v>133.476</v>
      </c>
      <c r="H21" s="8">
        <f>2.68*42/50</f>
        <v>2.2511999999999999</v>
      </c>
      <c r="I21" s="8">
        <f>3.5*42/50</f>
        <v>2.94</v>
      </c>
      <c r="J21" s="9">
        <f>29.18*42/50</f>
        <v>24.511199999999999</v>
      </c>
    </row>
    <row r="22" spans="1:10" ht="15.75" x14ac:dyDescent="0.25">
      <c r="A22" s="25"/>
      <c r="B22" s="7" t="s">
        <v>17</v>
      </c>
      <c r="C22" s="49" t="s">
        <v>20</v>
      </c>
      <c r="D22" s="50" t="s">
        <v>24</v>
      </c>
      <c r="E22" s="41" t="s">
        <v>51</v>
      </c>
      <c r="F22" s="65">
        <f>89.76*0.02</f>
        <v>1.7952000000000001</v>
      </c>
      <c r="G22" s="8">
        <v>62.4</v>
      </c>
      <c r="H22" s="8">
        <v>2.4</v>
      </c>
      <c r="I22" s="8">
        <v>0.45</v>
      </c>
      <c r="J22" s="9">
        <v>11.37</v>
      </c>
    </row>
    <row r="23" spans="1:10" ht="15.75" x14ac:dyDescent="0.25">
      <c r="A23" s="25"/>
      <c r="B23" s="13" t="s">
        <v>16</v>
      </c>
      <c r="C23" s="51" t="s">
        <v>20</v>
      </c>
      <c r="D23" s="52" t="s">
        <v>21</v>
      </c>
      <c r="E23" s="42" t="s">
        <v>51</v>
      </c>
      <c r="F23" s="71">
        <f>60.86*0.02</f>
        <v>1.2172000000000001</v>
      </c>
      <c r="G23" s="10">
        <v>60</v>
      </c>
      <c r="H23" s="10">
        <v>1.47</v>
      </c>
      <c r="I23" s="10">
        <v>0.3</v>
      </c>
      <c r="J23" s="11">
        <v>13.44</v>
      </c>
    </row>
    <row r="24" spans="1:10" ht="16.5" thickBot="1" x14ac:dyDescent="0.3">
      <c r="A24" s="27"/>
      <c r="B24" s="28"/>
      <c r="C24" s="29"/>
      <c r="D24" s="29"/>
      <c r="E24" s="64"/>
      <c r="F24" s="78">
        <v>125</v>
      </c>
      <c r="G24" s="30">
        <f>SUM(G18:G23)</f>
        <v>783.87599999999998</v>
      </c>
      <c r="H24" s="30">
        <f>SUM(H19:H23)</f>
        <v>17.821199999999997</v>
      </c>
      <c r="I24" s="30">
        <f>SUM(I19:I23)</f>
        <v>16.61</v>
      </c>
      <c r="J24" s="31">
        <f>SUM(J19:J23)</f>
        <v>87.511200000000002</v>
      </c>
    </row>
    <row r="25" spans="1:10" ht="15.75" x14ac:dyDescent="0.25">
      <c r="A25" s="25"/>
      <c r="B25" s="80" t="s">
        <v>15</v>
      </c>
      <c r="C25" s="81">
        <v>66</v>
      </c>
      <c r="D25" s="82" t="s">
        <v>42</v>
      </c>
      <c r="E25" s="76" t="s">
        <v>54</v>
      </c>
      <c r="F25" s="98">
        <f>48.43*30/50+24.23*170/150</f>
        <v>56.518666666666675</v>
      </c>
      <c r="G25" s="12">
        <v>235</v>
      </c>
      <c r="H25" s="12">
        <v>10.66</v>
      </c>
      <c r="I25" s="12">
        <v>12.92</v>
      </c>
      <c r="J25" s="32">
        <v>17.21</v>
      </c>
    </row>
    <row r="26" spans="1:10" ht="15.75" x14ac:dyDescent="0.25">
      <c r="A26" s="25"/>
      <c r="B26" s="79" t="s">
        <v>11</v>
      </c>
      <c r="C26" s="49">
        <v>74</v>
      </c>
      <c r="D26" s="50" t="s">
        <v>40</v>
      </c>
      <c r="E26" s="76" t="s">
        <v>34</v>
      </c>
      <c r="F26" s="77">
        <v>15.31</v>
      </c>
      <c r="G26" s="8">
        <v>87</v>
      </c>
      <c r="H26" s="8">
        <v>1.04</v>
      </c>
      <c r="I26" s="8">
        <v>0</v>
      </c>
      <c r="J26" s="9">
        <v>20.98</v>
      </c>
    </row>
    <row r="27" spans="1:10" ht="15.75" x14ac:dyDescent="0.25">
      <c r="A27" s="25"/>
      <c r="B27" s="7" t="s">
        <v>17</v>
      </c>
      <c r="C27" s="49" t="s">
        <v>20</v>
      </c>
      <c r="D27" s="50" t="s">
        <v>24</v>
      </c>
      <c r="E27" s="41" t="s">
        <v>57</v>
      </c>
      <c r="F27" s="65">
        <v>3.17</v>
      </c>
      <c r="G27" s="8">
        <f>62.4*36/30</f>
        <v>74.88000000000001</v>
      </c>
      <c r="H27" s="8">
        <f>2.4*36/30</f>
        <v>2.88</v>
      </c>
      <c r="I27" s="8">
        <f>0.45*36/30</f>
        <v>0.53999999999999992</v>
      </c>
      <c r="J27" s="9">
        <f>11.37*36/30</f>
        <v>13.644</v>
      </c>
    </row>
    <row r="28" spans="1:10" ht="16.5" thickBot="1" x14ac:dyDescent="0.3">
      <c r="A28" s="27"/>
      <c r="B28" s="28"/>
      <c r="C28" s="29"/>
      <c r="D28" s="29"/>
      <c r="E28" s="64"/>
      <c r="F28" s="78">
        <f>SUM(F25:F27)</f>
        <v>74.998666666666679</v>
      </c>
      <c r="G28" s="30">
        <f>SUM(G25:G27)</f>
        <v>396.88</v>
      </c>
      <c r="H28" s="30">
        <f>SUM(H25:H27)</f>
        <v>14.579999999999998</v>
      </c>
      <c r="I28" s="30">
        <f>SUM(I25:I27)</f>
        <v>13.459999999999999</v>
      </c>
      <c r="J28" s="31">
        <f>SUM(J25:J27)</f>
        <v>51.833999999999996</v>
      </c>
    </row>
    <row r="29" spans="1:10" customFormat="1" x14ac:dyDescent="0.25">
      <c r="A29" s="18" t="s">
        <v>28</v>
      </c>
      <c r="E29" s="16"/>
      <c r="F29" s="16"/>
    </row>
    <row r="30" spans="1:10" x14ac:dyDescent="0.25">
      <c r="A30"/>
      <c r="B30"/>
      <c r="C30"/>
      <c r="D30"/>
    </row>
    <row r="31" spans="1:10" x14ac:dyDescent="0.25">
      <c r="A31" s="18" t="s">
        <v>29</v>
      </c>
      <c r="B31"/>
      <c r="C31"/>
      <c r="D31"/>
    </row>
    <row r="32" spans="1:10" x14ac:dyDescent="0.25">
      <c r="A32"/>
      <c r="B32"/>
      <c r="C32"/>
      <c r="D32"/>
    </row>
    <row r="39" spans="1:4" x14ac:dyDescent="0.25">
      <c r="A39"/>
      <c r="B39"/>
      <c r="C39"/>
      <c r="D39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G7 F10" unlockedFormula="1"/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2022-09-13T05:06:54Z</cp:lastPrinted>
  <dcterms:created xsi:type="dcterms:W3CDTF">2015-06-05T18:19:34Z</dcterms:created>
  <dcterms:modified xsi:type="dcterms:W3CDTF">2023-05-04T06:04:41Z</dcterms:modified>
</cp:coreProperties>
</file>