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D3D4E0AB-9FCF-4BB5-BD73-DF65B647BB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28" i="2" s="1"/>
  <c r="I27" i="2"/>
  <c r="I28" i="2" s="1"/>
  <c r="H27" i="2"/>
  <c r="H28" i="2" s="1"/>
  <c r="G27" i="2"/>
  <c r="G26" i="2"/>
  <c r="G28" i="2" s="1"/>
  <c r="F26" i="2"/>
  <c r="F24" i="2"/>
  <c r="F28" i="2" s="1"/>
  <c r="J22" i="2" l="1"/>
  <c r="I22" i="2"/>
  <c r="H22" i="2"/>
  <c r="G22" i="2"/>
  <c r="J21" i="2"/>
  <c r="I21" i="2"/>
  <c r="H21" i="2"/>
  <c r="G21" i="2"/>
  <c r="F21" i="2"/>
  <c r="F22" i="2"/>
  <c r="F17" i="1"/>
  <c r="F19" i="2"/>
  <c r="F18" i="2"/>
  <c r="J14" i="2"/>
  <c r="I14" i="2"/>
  <c r="H14" i="2"/>
  <c r="G14" i="2"/>
  <c r="F13" i="2"/>
  <c r="J8" i="2"/>
  <c r="I8" i="2"/>
  <c r="H8" i="2"/>
  <c r="G8" i="2"/>
  <c r="J7" i="2"/>
  <c r="I7" i="2"/>
  <c r="H7" i="2"/>
  <c r="G7" i="2"/>
  <c r="F4" i="2"/>
  <c r="F11" i="2"/>
  <c r="F10" i="2"/>
  <c r="G4" i="2"/>
  <c r="F9" i="2"/>
  <c r="F7" i="2"/>
  <c r="F38" i="1"/>
  <c r="G25" i="1"/>
  <c r="F25" i="1"/>
  <c r="F5" i="2"/>
  <c r="F26" i="1"/>
  <c r="F5" i="1"/>
  <c r="G27" i="1"/>
  <c r="F27" i="1"/>
  <c r="J13" i="2"/>
  <c r="I13" i="2"/>
  <c r="H13" i="2"/>
  <c r="G13" i="2"/>
  <c r="F15" i="2" l="1"/>
  <c r="F33" i="1"/>
  <c r="F34" i="1"/>
  <c r="J27" i="1"/>
  <c r="I27" i="1"/>
  <c r="H27" i="1"/>
  <c r="F13" i="1"/>
  <c r="F12" i="1"/>
  <c r="F6" i="1"/>
  <c r="G9" i="2"/>
  <c r="F42" i="1"/>
  <c r="F41" i="1"/>
  <c r="J30" i="1"/>
  <c r="I30" i="1"/>
  <c r="H30" i="1"/>
  <c r="G30" i="1"/>
  <c r="J29" i="1"/>
  <c r="I29" i="1"/>
  <c r="H29" i="1"/>
  <c r="G29" i="1"/>
  <c r="F30" i="1"/>
  <c r="F29" i="1"/>
  <c r="F21" i="1"/>
  <c r="F20" i="1"/>
  <c r="J6" i="1"/>
  <c r="I6" i="1"/>
  <c r="H6" i="1"/>
  <c r="G6" i="1"/>
  <c r="F9" i="1"/>
  <c r="F8" i="1"/>
  <c r="J9" i="1"/>
  <c r="I9" i="1"/>
  <c r="H9" i="1"/>
  <c r="G9" i="1"/>
  <c r="J8" i="1"/>
  <c r="I8" i="1"/>
  <c r="H8" i="1"/>
  <c r="G8" i="1"/>
  <c r="F36" i="1"/>
  <c r="F15" i="1"/>
  <c r="F16" i="2"/>
  <c r="G10" i="1" l="1"/>
  <c r="J23" i="2" l="1"/>
  <c r="I23" i="2"/>
  <c r="H23" i="2"/>
  <c r="G23" i="2"/>
  <c r="J35" i="1"/>
  <c r="I35" i="1"/>
  <c r="H35" i="1"/>
  <c r="G35" i="1"/>
  <c r="J14" i="1"/>
  <c r="I14" i="1"/>
  <c r="H14" i="1"/>
  <c r="G14" i="1"/>
  <c r="J43" i="1"/>
  <c r="I43" i="1"/>
  <c r="H43" i="1"/>
  <c r="G43" i="1"/>
  <c r="J31" i="1"/>
  <c r="I31" i="1"/>
  <c r="H31" i="1"/>
  <c r="G31" i="1"/>
  <c r="J22" i="1" l="1"/>
  <c r="I22" i="1"/>
  <c r="H22" i="1"/>
  <c r="G22" i="1"/>
  <c r="H15" i="2" l="1"/>
  <c r="G15" i="2"/>
  <c r="H10" i="1"/>
  <c r="I9" i="2" l="1"/>
  <c r="J9" i="2"/>
  <c r="H9" i="2"/>
  <c r="J10" i="1" l="1"/>
  <c r="I10" i="1" l="1"/>
  <c r="I15" i="2" l="1"/>
  <c r="J15" i="2"/>
</calcChain>
</file>

<file path=xl/sharedStrings.xml><?xml version="1.0" encoding="utf-8"?>
<sst xmlns="http://schemas.openxmlformats.org/spreadsheetml/2006/main" count="214" uniqueCount="70">
  <si>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</si>
  <si>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</si>
  <si>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</si>
  <si>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</si>
  <si>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</si>
  <si>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</si>
  <si>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</si>
  <si>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</si>
  <si>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</si>
  <si>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</si>
  <si>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</si>
  <si>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</si>
  <si>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</si>
  <si>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</si>
  <si>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</si>
  <si>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</si>
  <si>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</si>
  <si>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</si>
  <si>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</si>
  <si>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</si>
  <si>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</si>
  <si>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</si>
  <si>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</si>
  <si>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</si>
  <si>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</si>
  <si>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</si>
  <si>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</si>
  <si>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</si>
  <si>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</si>
  <si>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</si>
  <si>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</si>
  <si>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</si>
  <si>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гарнир</t>
  </si>
  <si>
    <t>150</t>
  </si>
  <si>
    <t>30</t>
  </si>
  <si>
    <t>45/45</t>
  </si>
  <si>
    <t>Каша ячневая вязкая</t>
  </si>
  <si>
    <t>добавка</t>
  </si>
  <si>
    <t>Масло сливочное</t>
  </si>
  <si>
    <t>Чай с молоком сгущенным</t>
  </si>
  <si>
    <t>Бутерброд с маслом с сыром</t>
  </si>
  <si>
    <t>Суп гороховый</t>
  </si>
  <si>
    <t>250</t>
  </si>
  <si>
    <t>Гуляш из говядины</t>
  </si>
  <si>
    <t>Каша гречневая рассыпчатая</t>
  </si>
  <si>
    <t>Компот из смеси сухофруктов</t>
  </si>
  <si>
    <t xml:space="preserve">Суп гороховый </t>
  </si>
  <si>
    <t>50/50</t>
  </si>
  <si>
    <t>40</t>
  </si>
  <si>
    <t>Творожное печенье</t>
  </si>
  <si>
    <t>57</t>
  </si>
  <si>
    <t>200</t>
  </si>
  <si>
    <t>Кофейный напиток с молоком</t>
  </si>
  <si>
    <t>60</t>
  </si>
  <si>
    <t>180</t>
  </si>
  <si>
    <t>77</t>
  </si>
  <si>
    <t>76</t>
  </si>
  <si>
    <t>160</t>
  </si>
  <si>
    <t>гор.напиток</t>
  </si>
  <si>
    <t>Чай с сахаром</t>
  </si>
  <si>
    <t>27</t>
  </si>
  <si>
    <t>Яблоко</t>
  </si>
  <si>
    <t>100</t>
  </si>
  <si>
    <t>25</t>
  </si>
  <si>
    <t>МБОУ Элитовская СОШ</t>
  </si>
  <si>
    <t>Суп гороховый с мясом говядины</t>
  </si>
  <si>
    <t>235/15</t>
  </si>
  <si>
    <t>Сок</t>
  </si>
  <si>
    <t>Булочка дорожная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</si>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</sst>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7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6" fillId="0" borderId="18" xfId="0" applyNumberFormat="1" applyFont="1" applyBorder="1" applyAlignment="1">
      <alignment horizontal="center"/>
    </xf>
    <xf numFmtId="0" fontId="0" fillId="0" borderId="24" xfId="0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0" fillId="0" borderId="25" xfId="0" applyNumberFormat="1" applyBorder="1" applyProtection="1">
      <protection locked="0"/>
    </xf>
    <xf numFmtId="0" fontId="3" fillId="0" borderId="4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8" fillId="0" borderId="16" xfId="0" applyFont="1" applyBorder="1"/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2" fontId="10" fillId="0" borderId="4" xfId="0" applyNumberFormat="1" applyFont="1" applyBorder="1" applyAlignment="1" applyProtection="1">
      <alignment horizontal="center"/>
      <protection locked="0"/>
    </xf>
    <xf numFmtId="0" fontId="11" fillId="0" borderId="1" xfId="0" applyFont="1" applyBorder="1"/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2" fontId="8" fillId="0" borderId="9" xfId="0" applyNumberFormat="1" applyFont="1" applyBorder="1" applyProtection="1">
      <protection locked="0"/>
    </xf>
    <xf numFmtId="0" fontId="8" fillId="0" borderId="1" xfId="0" applyFont="1" applyBorder="1"/>
    <xf numFmtId="0" fontId="11" fillId="0" borderId="14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8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wrapText="1"/>
      <protection locked="0"/>
    </xf>
    <xf numFmtId="1" fontId="10" fillId="0" borderId="18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Protection="1">
      <protection locked="0"/>
    </xf>
    <xf numFmtId="2" fontId="8" fillId="0" borderId="19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wrapText="1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2" fontId="9" fillId="0" borderId="14" xfId="0" applyNumberFormat="1" applyFont="1" applyBorder="1" applyAlignment="1" applyProtection="1">
      <alignment horizontal="center"/>
      <protection locked="0"/>
    </xf>
    <xf numFmtId="2" fontId="11" fillId="0" borderId="14" xfId="0" applyNumberFormat="1" applyFont="1" applyBorder="1" applyProtection="1">
      <protection locked="0"/>
    </xf>
    <xf numFmtId="2" fontId="11" fillId="0" borderId="15" xfId="0" applyNumberFormat="1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18" xfId="0" applyFont="1" applyBorder="1"/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11" fillId="0" borderId="18" xfId="0" applyNumberFormat="1" applyFont="1" applyBorder="1"/>
    <xf numFmtId="2" fontId="11" fillId="0" borderId="19" xfId="0" applyNumberFormat="1" applyFont="1" applyBorder="1"/>
    <xf numFmtId="0" fontId="8" fillId="0" borderId="6" xfId="0" applyFont="1" applyBorder="1"/>
    <xf numFmtId="0" fontId="10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wrapText="1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8" fillId="0" borderId="6" xfId="0" applyNumberFormat="1" applyFont="1" applyBorder="1" applyProtection="1">
      <protection locked="0"/>
    </xf>
    <xf numFmtId="2" fontId="8" fillId="0" borderId="7" xfId="0" applyNumberFormat="1" applyFont="1" applyBorder="1" applyProtection="1"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2" fontId="10" fillId="0" borderId="18" xfId="0" applyNumberFormat="1" applyFont="1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4"/>
  <sheetViews>
    <sheetView tabSelected="1" zoomScale="115" zoomScaleNormal="115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11.85546875" style="17" bestFit="1" customWidth="1"/>
    <col min="7" max="7" width="7.7109375" customWidth="1"/>
    <col min="8" max="8" width="6.140625" bestFit="1" customWidth="1"/>
    <col min="9" max="9" width="11.7109375" customWidth="1"/>
    <col min="10" max="10" width="8.5703125" customWidth="1"/>
  </cols>
  <sheetData>
    <row r="1" spans="1:10" ht="28.9" customHeight="1" x14ac:dyDescent="0.25">
      <c r="A1" t="s">
        <v>0</v>
      </c>
      <c r="B1" s="136" t="s">
        <v>64</v>
      </c>
      <c r="C1" s="137"/>
      <c r="D1" s="138"/>
      <c r="E1" s="17" t="s">
        <v>26</v>
      </c>
      <c r="F1" s="16"/>
      <c r="H1" t="s">
        <v>1</v>
      </c>
      <c r="I1" s="15">
        <v>45049</v>
      </c>
    </row>
    <row r="2" spans="1:10" ht="15.75" thickBot="1" x14ac:dyDescent="0.3">
      <c r="B2" s="1" t="s">
        <v>25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18</v>
      </c>
      <c r="D3" s="19" t="s">
        <v>4</v>
      </c>
      <c r="E3" s="40" t="s">
        <v>19</v>
      </c>
      <c r="F3" s="40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2" t="s">
        <v>10</v>
      </c>
      <c r="B4" s="14" t="s">
        <v>11</v>
      </c>
      <c r="C4" s="51">
        <v>50</v>
      </c>
      <c r="D4" s="52" t="s">
        <v>36</v>
      </c>
      <c r="E4" s="53" t="s">
        <v>51</v>
      </c>
      <c r="F4" s="54">
        <v>17.57</v>
      </c>
      <c r="G4" s="4">
        <v>253.84</v>
      </c>
      <c r="H4" s="4">
        <v>7.7</v>
      </c>
      <c r="I4" s="4">
        <v>7.5</v>
      </c>
      <c r="J4" s="5">
        <v>39.72</v>
      </c>
    </row>
    <row r="5" spans="1:10" ht="15.75" x14ac:dyDescent="0.25">
      <c r="A5" s="6"/>
      <c r="B5" s="32" t="s">
        <v>37</v>
      </c>
      <c r="C5" s="55" t="s">
        <v>20</v>
      </c>
      <c r="D5" s="56" t="s">
        <v>61</v>
      </c>
      <c r="E5" s="57" t="s">
        <v>62</v>
      </c>
      <c r="F5" s="58">
        <f>171.6*0.112</f>
        <v>19.219200000000001</v>
      </c>
      <c r="G5" s="13">
        <v>96</v>
      </c>
      <c r="H5" s="13">
        <v>1.5</v>
      </c>
      <c r="I5" s="13">
        <v>0.5</v>
      </c>
      <c r="J5" s="34">
        <v>21</v>
      </c>
    </row>
    <row r="6" spans="1:10" ht="15.75" x14ac:dyDescent="0.25">
      <c r="A6" s="6"/>
      <c r="B6" s="84" t="s">
        <v>37</v>
      </c>
      <c r="C6" s="59">
        <v>3</v>
      </c>
      <c r="D6" s="60" t="s">
        <v>38</v>
      </c>
      <c r="E6" s="61">
        <v>10</v>
      </c>
      <c r="F6" s="62">
        <f>9.82*10/10</f>
        <v>9.82</v>
      </c>
      <c r="G6" s="8">
        <f>64.7*10/10</f>
        <v>64.7</v>
      </c>
      <c r="H6" s="8">
        <f>0.08*10/10</f>
        <v>0.08</v>
      </c>
      <c r="I6" s="8">
        <f>7.15*10/10</f>
        <v>7.15</v>
      </c>
      <c r="J6" s="9">
        <f>0.12*10/10</f>
        <v>0.12</v>
      </c>
    </row>
    <row r="7" spans="1:10" ht="30" x14ac:dyDescent="0.25">
      <c r="A7" s="6"/>
      <c r="B7" s="32" t="s">
        <v>23</v>
      </c>
      <c r="C7" s="59">
        <v>2</v>
      </c>
      <c r="D7" s="60" t="s">
        <v>52</v>
      </c>
      <c r="E7" s="61">
        <v>200</v>
      </c>
      <c r="F7" s="62">
        <v>13.43</v>
      </c>
      <c r="G7" s="8">
        <v>100</v>
      </c>
      <c r="H7" s="8">
        <v>3.9</v>
      </c>
      <c r="I7" s="8">
        <v>3</v>
      </c>
      <c r="J7" s="9">
        <v>15.28</v>
      </c>
    </row>
    <row r="8" spans="1:10" ht="15.75" x14ac:dyDescent="0.25">
      <c r="A8" s="6"/>
      <c r="B8" s="7" t="s">
        <v>17</v>
      </c>
      <c r="C8" s="59" t="s">
        <v>20</v>
      </c>
      <c r="D8" s="60" t="s">
        <v>24</v>
      </c>
      <c r="E8" s="61">
        <v>20</v>
      </c>
      <c r="F8" s="62">
        <f>74.8*0.02</f>
        <v>1.496</v>
      </c>
      <c r="G8" s="8">
        <f>41.6*20/20</f>
        <v>41.6</v>
      </c>
      <c r="H8" s="8">
        <f>1.6*20/20</f>
        <v>1.6</v>
      </c>
      <c r="I8" s="8">
        <f>0.03*20/20</f>
        <v>0.03</v>
      </c>
      <c r="J8" s="9">
        <f>8.02*20/20</f>
        <v>8.02</v>
      </c>
    </row>
    <row r="9" spans="1:10" ht="15.75" x14ac:dyDescent="0.25">
      <c r="A9" s="6"/>
      <c r="B9" s="7" t="s">
        <v>16</v>
      </c>
      <c r="C9" s="63" t="s">
        <v>20</v>
      </c>
      <c r="D9" s="60" t="s">
        <v>21</v>
      </c>
      <c r="E9" s="61">
        <v>20</v>
      </c>
      <c r="F9" s="62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6.5" thickBot="1" x14ac:dyDescent="0.3">
      <c r="A10" s="44"/>
      <c r="B10" s="45"/>
      <c r="C10" s="64"/>
      <c r="D10" s="65"/>
      <c r="E10" s="66"/>
      <c r="F10" s="67">
        <v>58.52</v>
      </c>
      <c r="G10" s="46">
        <f>SUM(G4:G9)</f>
        <v>596.14</v>
      </c>
      <c r="H10" s="46">
        <f>SUM(H4:H9)</f>
        <v>15.76</v>
      </c>
      <c r="I10" s="46">
        <f>SUM(I4:I9)</f>
        <v>18.38</v>
      </c>
      <c r="J10" s="83">
        <f>SUM(J4:J9)</f>
        <v>93.089999999999989</v>
      </c>
    </row>
    <row r="11" spans="1:10" ht="13.9" customHeight="1" x14ac:dyDescent="0.25">
      <c r="A11" s="2" t="s">
        <v>22</v>
      </c>
      <c r="B11" s="3" t="s">
        <v>23</v>
      </c>
      <c r="C11" s="68">
        <v>75</v>
      </c>
      <c r="D11" s="69" t="s">
        <v>39</v>
      </c>
      <c r="E11" s="70">
        <v>200</v>
      </c>
      <c r="F11" s="54">
        <v>10.98</v>
      </c>
      <c r="G11" s="4">
        <v>138</v>
      </c>
      <c r="H11" s="4">
        <v>2.74</v>
      </c>
      <c r="I11" s="4">
        <v>3.23</v>
      </c>
      <c r="J11" s="5">
        <v>24.11</v>
      </c>
    </row>
    <row r="12" spans="1:10" ht="30" x14ac:dyDescent="0.25">
      <c r="A12" s="6"/>
      <c r="B12" s="10" t="s">
        <v>37</v>
      </c>
      <c r="C12" s="71">
        <v>68</v>
      </c>
      <c r="D12" s="72" t="s">
        <v>40</v>
      </c>
      <c r="E12" s="73" t="s">
        <v>53</v>
      </c>
      <c r="F12" s="62">
        <f>21.52*60/50</f>
        <v>25.824000000000002</v>
      </c>
      <c r="G12" s="8">
        <v>171</v>
      </c>
      <c r="H12" s="8">
        <v>4.68</v>
      </c>
      <c r="I12" s="8">
        <v>10.34</v>
      </c>
      <c r="J12" s="9">
        <v>14.89</v>
      </c>
    </row>
    <row r="13" spans="1:10" ht="15.75" x14ac:dyDescent="0.25">
      <c r="A13" s="6"/>
      <c r="B13" s="82" t="s">
        <v>37</v>
      </c>
      <c r="C13" s="78" t="s">
        <v>20</v>
      </c>
      <c r="D13" s="79" t="s">
        <v>49</v>
      </c>
      <c r="E13" s="80" t="s">
        <v>50</v>
      </c>
      <c r="F13" s="81">
        <f>150*0.057</f>
        <v>8.5500000000000007</v>
      </c>
      <c r="G13" s="11">
        <v>158.9</v>
      </c>
      <c r="H13" s="11">
        <v>2.68</v>
      </c>
      <c r="I13" s="11">
        <v>3.5</v>
      </c>
      <c r="J13" s="12">
        <v>29.18</v>
      </c>
    </row>
    <row r="14" spans="1:10" ht="16.5" thickBot="1" x14ac:dyDescent="0.3">
      <c r="A14" s="43"/>
      <c r="B14" s="36"/>
      <c r="C14" s="74"/>
      <c r="D14" s="75"/>
      <c r="E14" s="76"/>
      <c r="F14" s="77">
        <v>43.9</v>
      </c>
      <c r="G14" s="47">
        <f>SUM(G11:G13)</f>
        <v>467.9</v>
      </c>
      <c r="H14" s="47">
        <f>SUM(H11:H13)</f>
        <v>10.1</v>
      </c>
      <c r="I14" s="47">
        <f>SUM(I11:I13)</f>
        <v>17.07</v>
      </c>
      <c r="J14" s="48">
        <f>SUM(J11:J13)</f>
        <v>68.180000000000007</v>
      </c>
    </row>
    <row r="15" spans="1:10" ht="15.75" x14ac:dyDescent="0.25">
      <c r="A15" s="2" t="s">
        <v>12</v>
      </c>
      <c r="B15" s="3" t="s">
        <v>13</v>
      </c>
      <c r="C15" s="68">
        <v>4</v>
      </c>
      <c r="D15" s="69" t="s">
        <v>31</v>
      </c>
      <c r="E15" s="53" t="s">
        <v>53</v>
      </c>
      <c r="F15" s="54">
        <f>28.02*60/60</f>
        <v>28.02</v>
      </c>
      <c r="G15" s="4">
        <v>14.14</v>
      </c>
      <c r="H15" s="4">
        <v>0.66</v>
      </c>
      <c r="I15" s="4">
        <v>0.12</v>
      </c>
      <c r="J15" s="5">
        <v>2.2799999999999998</v>
      </c>
    </row>
    <row r="16" spans="1:10" ht="15.75" x14ac:dyDescent="0.25">
      <c r="A16" s="6"/>
      <c r="B16" s="7" t="s">
        <v>14</v>
      </c>
      <c r="C16" s="71">
        <v>5</v>
      </c>
      <c r="D16" s="72" t="s">
        <v>46</v>
      </c>
      <c r="E16" s="73" t="s">
        <v>42</v>
      </c>
      <c r="F16" s="62">
        <v>8.1</v>
      </c>
      <c r="G16" s="8">
        <v>163.75</v>
      </c>
      <c r="H16" s="8">
        <v>5.08</v>
      </c>
      <c r="I16" s="8">
        <v>5.35</v>
      </c>
      <c r="J16" s="9">
        <v>23.85</v>
      </c>
    </row>
    <row r="17" spans="1:10" ht="15.75" x14ac:dyDescent="0.25">
      <c r="A17" s="6"/>
      <c r="B17" s="7" t="s">
        <v>15</v>
      </c>
      <c r="C17" s="71">
        <v>29</v>
      </c>
      <c r="D17" s="72" t="s">
        <v>43</v>
      </c>
      <c r="E17" s="73" t="s">
        <v>35</v>
      </c>
      <c r="F17" s="62">
        <f>49.6*45/45+2.19*45/45</f>
        <v>51.79</v>
      </c>
      <c r="G17" s="8">
        <v>161.1</v>
      </c>
      <c r="H17" s="8">
        <v>11.57</v>
      </c>
      <c r="I17" s="8">
        <v>11.48</v>
      </c>
      <c r="J17" s="9">
        <v>2.63</v>
      </c>
    </row>
    <row r="18" spans="1:10" ht="30" x14ac:dyDescent="0.25">
      <c r="A18" s="6"/>
      <c r="B18" s="7" t="s">
        <v>32</v>
      </c>
      <c r="C18" s="71">
        <v>24</v>
      </c>
      <c r="D18" s="72" t="s">
        <v>44</v>
      </c>
      <c r="E18" s="73" t="s">
        <v>33</v>
      </c>
      <c r="F18" s="62">
        <v>17.91</v>
      </c>
      <c r="G18" s="8">
        <v>300.94</v>
      </c>
      <c r="H18" s="8">
        <v>6.28</v>
      </c>
      <c r="I18" s="8">
        <v>9.94</v>
      </c>
      <c r="J18" s="9">
        <v>46.69</v>
      </c>
    </row>
    <row r="19" spans="1:10" ht="30" x14ac:dyDescent="0.25">
      <c r="A19" s="6"/>
      <c r="B19" s="7" t="s">
        <v>23</v>
      </c>
      <c r="C19" s="71">
        <v>17</v>
      </c>
      <c r="D19" s="72" t="s">
        <v>45</v>
      </c>
      <c r="E19" s="73">
        <v>200</v>
      </c>
      <c r="F19" s="62">
        <v>4.1900000000000004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17</v>
      </c>
      <c r="C20" s="71" t="s">
        <v>20</v>
      </c>
      <c r="D20" s="72" t="s">
        <v>24</v>
      </c>
      <c r="E20" s="73" t="s">
        <v>34</v>
      </c>
      <c r="F20" s="62">
        <f>74.8*0.03</f>
        <v>2.2439999999999998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78" t="s">
        <v>20</v>
      </c>
      <c r="D21" s="79" t="s">
        <v>21</v>
      </c>
      <c r="E21" s="80" t="s">
        <v>34</v>
      </c>
      <c r="F21" s="81">
        <f>50.71*0.03</f>
        <v>1.5212999999999999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35"/>
      <c r="B22" s="36"/>
      <c r="C22" s="37"/>
      <c r="D22" s="37"/>
      <c r="E22" s="42"/>
      <c r="F22" s="49">
        <v>102.06</v>
      </c>
      <c r="G22" s="38">
        <f>SUM(G15:G21)</f>
        <v>842.33</v>
      </c>
      <c r="H22" s="38">
        <f>SUM(H15:H21)</f>
        <v>27.900000000000002</v>
      </c>
      <c r="I22" s="38">
        <f>SUM(I15:I21)</f>
        <v>27.64</v>
      </c>
      <c r="J22" s="39">
        <f>SUM(J15:J21)</f>
        <v>119.16</v>
      </c>
    </row>
    <row r="23" spans="1:10" ht="16.5" thickBot="1" x14ac:dyDescent="0.3">
      <c r="B23" s="1" t="s">
        <v>27</v>
      </c>
      <c r="E23" s="41"/>
      <c r="F23" s="41"/>
    </row>
    <row r="24" spans="1:10" ht="30.75" thickBot="1" x14ac:dyDescent="0.3">
      <c r="A24" s="18" t="s">
        <v>2</v>
      </c>
      <c r="B24" s="19" t="s">
        <v>3</v>
      </c>
      <c r="C24" s="19" t="s">
        <v>18</v>
      </c>
      <c r="D24" s="19" t="s">
        <v>4</v>
      </c>
      <c r="E24" s="40" t="s">
        <v>19</v>
      </c>
      <c r="F24" s="40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75" x14ac:dyDescent="0.25">
      <c r="A25" s="2" t="s">
        <v>10</v>
      </c>
      <c r="B25" s="14" t="s">
        <v>11</v>
      </c>
      <c r="C25" s="51">
        <v>50</v>
      </c>
      <c r="D25" s="52" t="s">
        <v>36</v>
      </c>
      <c r="E25" s="53" t="s">
        <v>42</v>
      </c>
      <c r="F25" s="54">
        <f>17.57*250/200</f>
        <v>21.962499999999999</v>
      </c>
      <c r="G25" s="4">
        <f>253.84*250/200</f>
        <v>317.3</v>
      </c>
      <c r="H25" s="4">
        <v>7.7</v>
      </c>
      <c r="I25" s="4">
        <v>7.5</v>
      </c>
      <c r="J25" s="5">
        <v>39.72</v>
      </c>
    </row>
    <row r="26" spans="1:10" ht="15.75" x14ac:dyDescent="0.25">
      <c r="A26" s="6"/>
      <c r="B26" s="32" t="s">
        <v>37</v>
      </c>
      <c r="C26" s="55" t="s">
        <v>20</v>
      </c>
      <c r="D26" s="56" t="s">
        <v>61</v>
      </c>
      <c r="E26" s="57" t="s">
        <v>62</v>
      </c>
      <c r="F26" s="58">
        <f>171.6*0.112</f>
        <v>19.219200000000001</v>
      </c>
      <c r="G26" s="13">
        <v>96</v>
      </c>
      <c r="H26" s="13">
        <v>1.5</v>
      </c>
      <c r="I26" s="13">
        <v>0.5</v>
      </c>
      <c r="J26" s="34">
        <v>21</v>
      </c>
    </row>
    <row r="27" spans="1:10" ht="15.75" x14ac:dyDescent="0.25">
      <c r="A27" s="6"/>
      <c r="B27" s="32" t="s">
        <v>37</v>
      </c>
      <c r="C27" s="59">
        <v>3</v>
      </c>
      <c r="D27" s="60" t="s">
        <v>38</v>
      </c>
      <c r="E27" s="61">
        <v>10</v>
      </c>
      <c r="F27" s="62">
        <f>9.82*10/10</f>
        <v>9.82</v>
      </c>
      <c r="G27" s="8">
        <f>64.7*10/10</f>
        <v>64.7</v>
      </c>
      <c r="H27" s="8">
        <f>0.08*14/10</f>
        <v>0.11200000000000002</v>
      </c>
      <c r="I27" s="8">
        <f>7.15*14/10</f>
        <v>10.010000000000002</v>
      </c>
      <c r="J27" s="9">
        <f>0.12*14/10</f>
        <v>0.16799999999999998</v>
      </c>
    </row>
    <row r="28" spans="1:10" ht="30" x14ac:dyDescent="0.25">
      <c r="A28" s="6"/>
      <c r="B28" s="32" t="s">
        <v>23</v>
      </c>
      <c r="C28" s="59">
        <v>2</v>
      </c>
      <c r="D28" s="60" t="s">
        <v>52</v>
      </c>
      <c r="E28" s="61">
        <v>200</v>
      </c>
      <c r="F28" s="62">
        <v>13.43</v>
      </c>
      <c r="G28" s="8">
        <v>100</v>
      </c>
      <c r="H28" s="8">
        <v>3.9</v>
      </c>
      <c r="I28" s="8">
        <v>3</v>
      </c>
      <c r="J28" s="9">
        <v>15.28</v>
      </c>
    </row>
    <row r="29" spans="1:10" ht="15.75" x14ac:dyDescent="0.25">
      <c r="A29" s="6"/>
      <c r="B29" s="7" t="s">
        <v>17</v>
      </c>
      <c r="C29" s="59" t="s">
        <v>20</v>
      </c>
      <c r="D29" s="60" t="s">
        <v>24</v>
      </c>
      <c r="E29" s="61">
        <v>30</v>
      </c>
      <c r="F29" s="62">
        <f>74.8*0.03</f>
        <v>2.2439999999999998</v>
      </c>
      <c r="G29" s="8">
        <f>62.4*30/30</f>
        <v>62.4</v>
      </c>
      <c r="H29" s="8">
        <f>2.4*30/30</f>
        <v>2.4</v>
      </c>
      <c r="I29" s="8">
        <f>0.05*30/30</f>
        <v>0.05</v>
      </c>
      <c r="J29" s="9">
        <f>12.03*30/30</f>
        <v>12.03</v>
      </c>
    </row>
    <row r="30" spans="1:10" ht="15.75" x14ac:dyDescent="0.25">
      <c r="A30" s="6"/>
      <c r="B30" s="7" t="s">
        <v>16</v>
      </c>
      <c r="C30" s="63" t="s">
        <v>20</v>
      </c>
      <c r="D30" s="60" t="s">
        <v>21</v>
      </c>
      <c r="E30" s="61">
        <v>30</v>
      </c>
      <c r="F30" s="62">
        <f>50.71*0.03</f>
        <v>1.5212999999999999</v>
      </c>
      <c r="G30" s="8">
        <f>60*30/30</f>
        <v>60</v>
      </c>
      <c r="H30" s="8">
        <f>1.47*30/30</f>
        <v>1.47</v>
      </c>
      <c r="I30" s="8">
        <f>0.3*30/30</f>
        <v>0.3</v>
      </c>
      <c r="J30" s="9">
        <f>13.44*30/30</f>
        <v>13.44</v>
      </c>
    </row>
    <row r="31" spans="1:10" ht="16.5" thickBot="1" x14ac:dyDescent="0.3">
      <c r="A31" s="44"/>
      <c r="B31" s="45"/>
      <c r="C31" s="64"/>
      <c r="D31" s="65"/>
      <c r="E31" s="66"/>
      <c r="F31" s="67">
        <v>68.05</v>
      </c>
      <c r="G31" s="46">
        <f>SUM(G25:G30)</f>
        <v>700.4</v>
      </c>
      <c r="H31" s="46">
        <f>SUM(H25:H30)</f>
        <v>17.082000000000001</v>
      </c>
      <c r="I31" s="46">
        <f>SUM(I25:I30)</f>
        <v>21.360000000000003</v>
      </c>
      <c r="J31" s="83">
        <f>SUM(J25:J30)</f>
        <v>101.63799999999999</v>
      </c>
    </row>
    <row r="32" spans="1:10" ht="14.45" customHeight="1" x14ac:dyDescent="0.25">
      <c r="A32" s="2" t="s">
        <v>22</v>
      </c>
      <c r="B32" s="3" t="s">
        <v>23</v>
      </c>
      <c r="C32" s="68">
        <v>75</v>
      </c>
      <c r="D32" s="69" t="s">
        <v>39</v>
      </c>
      <c r="E32" s="70">
        <v>200</v>
      </c>
      <c r="F32" s="54">
        <v>10.98</v>
      </c>
      <c r="G32" s="4">
        <v>138</v>
      </c>
      <c r="H32" s="4">
        <v>2.74</v>
      </c>
      <c r="I32" s="4">
        <v>3.23</v>
      </c>
      <c r="J32" s="5">
        <v>24.11</v>
      </c>
    </row>
    <row r="33" spans="1:10" ht="30" x14ac:dyDescent="0.25">
      <c r="A33" s="6"/>
      <c r="B33" s="10" t="s">
        <v>37</v>
      </c>
      <c r="C33" s="71">
        <v>68</v>
      </c>
      <c r="D33" s="72" t="s">
        <v>40</v>
      </c>
      <c r="E33" s="73" t="s">
        <v>55</v>
      </c>
      <c r="F33" s="62">
        <f>29.43*77/77</f>
        <v>29.430000000000003</v>
      </c>
      <c r="G33" s="8">
        <v>250</v>
      </c>
      <c r="H33" s="8">
        <v>7.38</v>
      </c>
      <c r="I33" s="8">
        <v>13.4</v>
      </c>
      <c r="J33" s="9">
        <v>24.76</v>
      </c>
    </row>
    <row r="34" spans="1:10" ht="15.75" x14ac:dyDescent="0.25">
      <c r="A34" s="6"/>
      <c r="B34" s="82" t="s">
        <v>37</v>
      </c>
      <c r="C34" s="78" t="s">
        <v>20</v>
      </c>
      <c r="D34" s="79" t="s">
        <v>49</v>
      </c>
      <c r="E34" s="80" t="s">
        <v>56</v>
      </c>
      <c r="F34" s="81">
        <f>150*0.076</f>
        <v>11.4</v>
      </c>
      <c r="G34" s="11">
        <v>238.33</v>
      </c>
      <c r="H34" s="11">
        <v>4.01</v>
      </c>
      <c r="I34" s="11">
        <v>5.25</v>
      </c>
      <c r="J34" s="12">
        <v>43.76</v>
      </c>
    </row>
    <row r="35" spans="1:10" ht="16.5" thickBot="1" x14ac:dyDescent="0.3">
      <c r="A35" s="43"/>
      <c r="B35" s="36"/>
      <c r="C35" s="74"/>
      <c r="D35" s="75"/>
      <c r="E35" s="76"/>
      <c r="F35" s="77">
        <v>51.02</v>
      </c>
      <c r="G35" s="47">
        <f>SUM(G32:G34)</f>
        <v>626.33000000000004</v>
      </c>
      <c r="H35" s="47">
        <f>SUM(H32:H34)</f>
        <v>14.13</v>
      </c>
      <c r="I35" s="47">
        <f>SUM(I32:I34)</f>
        <v>21.88</v>
      </c>
      <c r="J35" s="48">
        <f>SUM(J32:J34)</f>
        <v>92.63</v>
      </c>
    </row>
    <row r="36" spans="1:10" ht="15.75" x14ac:dyDescent="0.25">
      <c r="A36" s="2" t="s">
        <v>12</v>
      </c>
      <c r="B36" s="3" t="s">
        <v>13</v>
      </c>
      <c r="C36" s="68">
        <v>4</v>
      </c>
      <c r="D36" s="69" t="s">
        <v>31</v>
      </c>
      <c r="E36" s="53" t="s">
        <v>53</v>
      </c>
      <c r="F36" s="54">
        <f>46.71*60/100</f>
        <v>28.026</v>
      </c>
      <c r="G36" s="4">
        <v>14.14</v>
      </c>
      <c r="H36" s="4">
        <v>0.66</v>
      </c>
      <c r="I36" s="4">
        <v>0.12</v>
      </c>
      <c r="J36" s="5">
        <v>2.2799999999999998</v>
      </c>
    </row>
    <row r="37" spans="1:10" ht="15.75" x14ac:dyDescent="0.25">
      <c r="A37" s="6"/>
      <c r="B37" s="7" t="s">
        <v>14</v>
      </c>
      <c r="C37" s="71">
        <v>5</v>
      </c>
      <c r="D37" s="72" t="s">
        <v>46</v>
      </c>
      <c r="E37" s="73" t="s">
        <v>42</v>
      </c>
      <c r="F37" s="62">
        <v>8.1</v>
      </c>
      <c r="G37" s="8">
        <v>163.75</v>
      </c>
      <c r="H37" s="8">
        <v>5.08</v>
      </c>
      <c r="I37" s="8">
        <v>5.35</v>
      </c>
      <c r="J37" s="9">
        <v>23.85</v>
      </c>
    </row>
    <row r="38" spans="1:10" ht="15.75" x14ac:dyDescent="0.25">
      <c r="A38" s="6"/>
      <c r="B38" s="7" t="s">
        <v>15</v>
      </c>
      <c r="C38" s="71">
        <v>29</v>
      </c>
      <c r="D38" s="72" t="s">
        <v>43</v>
      </c>
      <c r="E38" s="73" t="s">
        <v>47</v>
      </c>
      <c r="F38" s="62">
        <f>55.32*50/50+2.45*50/50</f>
        <v>57.77</v>
      </c>
      <c r="G38" s="8">
        <v>179</v>
      </c>
      <c r="H38" s="8">
        <v>12.86</v>
      </c>
      <c r="I38" s="8">
        <v>12.76</v>
      </c>
      <c r="J38" s="9">
        <v>2.92</v>
      </c>
    </row>
    <row r="39" spans="1:10" ht="30" x14ac:dyDescent="0.25">
      <c r="A39" s="6"/>
      <c r="B39" s="7" t="s">
        <v>32</v>
      </c>
      <c r="C39" s="71">
        <v>24</v>
      </c>
      <c r="D39" s="72" t="s">
        <v>44</v>
      </c>
      <c r="E39" s="73" t="s">
        <v>54</v>
      </c>
      <c r="F39" s="62">
        <v>21.63</v>
      </c>
      <c r="G39" s="8">
        <v>361.13</v>
      </c>
      <c r="H39" s="8">
        <v>7.54</v>
      </c>
      <c r="I39" s="8">
        <v>11.93</v>
      </c>
      <c r="J39" s="9">
        <v>56.03</v>
      </c>
    </row>
    <row r="40" spans="1:10" ht="30" x14ac:dyDescent="0.25">
      <c r="A40" s="6"/>
      <c r="B40" s="7" t="s">
        <v>23</v>
      </c>
      <c r="C40" s="71">
        <v>17</v>
      </c>
      <c r="D40" s="72" t="s">
        <v>45</v>
      </c>
      <c r="E40" s="73">
        <v>200</v>
      </c>
      <c r="F40" s="62">
        <v>4.1900000000000004</v>
      </c>
      <c r="G40" s="8">
        <v>80</v>
      </c>
      <c r="H40" s="8">
        <v>0.44</v>
      </c>
      <c r="I40" s="8">
        <v>0</v>
      </c>
      <c r="J40" s="9">
        <v>18.899999999999999</v>
      </c>
    </row>
    <row r="41" spans="1:10" ht="15.75" x14ac:dyDescent="0.25">
      <c r="A41" s="6"/>
      <c r="B41" s="7" t="s">
        <v>17</v>
      </c>
      <c r="C41" s="71" t="s">
        <v>20</v>
      </c>
      <c r="D41" s="72" t="s">
        <v>24</v>
      </c>
      <c r="E41" s="73" t="s">
        <v>48</v>
      </c>
      <c r="F41" s="62">
        <f>74.8*0.04</f>
        <v>2.992</v>
      </c>
      <c r="G41" s="8">
        <v>83.2</v>
      </c>
      <c r="H41" s="8">
        <v>3.2</v>
      </c>
      <c r="I41" s="8">
        <v>0.06</v>
      </c>
      <c r="J41" s="9">
        <v>16.04</v>
      </c>
    </row>
    <row r="42" spans="1:10" ht="15.75" x14ac:dyDescent="0.25">
      <c r="A42" s="6"/>
      <c r="B42" s="14" t="s">
        <v>16</v>
      </c>
      <c r="C42" s="78" t="s">
        <v>20</v>
      </c>
      <c r="D42" s="79" t="s">
        <v>21</v>
      </c>
      <c r="E42" s="80" t="s">
        <v>48</v>
      </c>
      <c r="F42" s="81">
        <f>50.71*0.04</f>
        <v>2.0284</v>
      </c>
      <c r="G42" s="11">
        <v>80</v>
      </c>
      <c r="H42" s="11">
        <v>1.96</v>
      </c>
      <c r="I42" s="11">
        <v>0.4</v>
      </c>
      <c r="J42" s="12">
        <v>17.920000000000002</v>
      </c>
    </row>
    <row r="43" spans="1:10" s="24" customFormat="1" ht="16.5" thickBot="1" x14ac:dyDescent="0.3">
      <c r="A43" s="35"/>
      <c r="B43" s="36"/>
      <c r="C43" s="37"/>
      <c r="D43" s="37"/>
      <c r="E43" s="42"/>
      <c r="F43" s="49">
        <v>102.06</v>
      </c>
      <c r="G43" s="38">
        <f>SUM(G36:G42)</f>
        <v>961.22</v>
      </c>
      <c r="H43" s="38">
        <f>SUM(H36:H42)</f>
        <v>31.740000000000002</v>
      </c>
      <c r="I43" s="38">
        <f>SUM(I36:I42)</f>
        <v>30.619999999999997</v>
      </c>
      <c r="J43" s="39">
        <f>SUM(J36:J42)</f>
        <v>137.94</v>
      </c>
    </row>
    <row r="44" spans="1:10" x14ac:dyDescent="0.25">
      <c r="A44" s="23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F33:F34 F5 G6 F15 F20:F21 F26:F27 F29:F30" unlockedFormula="1"/>
    <ignoredError sqref="E20:E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workbookViewId="0">
      <selection activeCell="I1" sqref="I1:I1048576"/>
    </sheetView>
  </sheetViews>
  <sheetFormatPr defaultColWidth="8.85546875" defaultRowHeight="15" x14ac:dyDescent="0.25"/>
  <cols>
    <col min="1" max="1" width="9.28515625" style="24" customWidth="1"/>
    <col min="2" max="2" width="12.7109375" style="24" customWidth="1"/>
    <col min="3" max="3" width="7.140625" style="24" bestFit="1" customWidth="1"/>
    <col min="4" max="4" width="24.7109375" style="24" bestFit="1" customWidth="1"/>
    <col min="5" max="5" width="8.140625" style="25" customWidth="1"/>
    <col min="6" max="6" width="6.85546875" style="25" customWidth="1"/>
    <col min="7" max="7" width="7.140625" style="24" customWidth="1"/>
    <col min="8" max="8" width="6.140625" style="24" bestFit="1" customWidth="1"/>
    <col min="9" max="9" width="12.28515625" style="24" customWidth="1"/>
    <col min="10" max="10" width="7.5703125" style="24" customWidth="1"/>
    <col min="11" max="16384" width="8.85546875" style="24"/>
  </cols>
  <sheetData>
    <row r="1" spans="1:10" ht="28.9" customHeight="1" x14ac:dyDescent="0.25">
      <c r="A1" s="24" t="s">
        <v>0</v>
      </c>
      <c r="B1" s="139" t="s">
        <v>64</v>
      </c>
      <c r="C1" s="140"/>
      <c r="D1" s="141"/>
      <c r="E1" s="25" t="s">
        <v>26</v>
      </c>
      <c r="F1" s="26"/>
      <c r="H1" s="24" t="s">
        <v>1</v>
      </c>
      <c r="I1" s="27">
        <v>45049</v>
      </c>
    </row>
    <row r="2" spans="1:10" ht="15.75" thickBot="1" x14ac:dyDescent="0.3">
      <c r="B2" s="28" t="s">
        <v>30</v>
      </c>
    </row>
    <row r="3" spans="1:10" s="29" customFormat="1" ht="45.75" thickBot="1" x14ac:dyDescent="0.3">
      <c r="A3" s="85" t="s">
        <v>2</v>
      </c>
      <c r="B3" s="86" t="s">
        <v>3</v>
      </c>
      <c r="C3" s="86" t="s">
        <v>18</v>
      </c>
      <c r="D3" s="86" t="s">
        <v>4</v>
      </c>
      <c r="E3" s="87" t="s">
        <v>19</v>
      </c>
      <c r="F3" s="87" t="s">
        <v>5</v>
      </c>
      <c r="G3" s="88" t="s">
        <v>6</v>
      </c>
      <c r="H3" s="86" t="s">
        <v>7</v>
      </c>
      <c r="I3" s="86" t="s">
        <v>8</v>
      </c>
      <c r="J3" s="89" t="s">
        <v>9</v>
      </c>
    </row>
    <row r="4" spans="1:10" s="29" customFormat="1" ht="19.149999999999999" customHeight="1" x14ac:dyDescent="0.25">
      <c r="A4" s="142"/>
      <c r="B4" s="90" t="s">
        <v>11</v>
      </c>
      <c r="C4" s="91">
        <v>50</v>
      </c>
      <c r="D4" s="92" t="s">
        <v>36</v>
      </c>
      <c r="E4" s="93" t="s">
        <v>42</v>
      </c>
      <c r="F4" s="94">
        <f>23.36*250/200</f>
        <v>29.2</v>
      </c>
      <c r="G4" s="4">
        <f>253.84*250/200</f>
        <v>317.3</v>
      </c>
      <c r="H4" s="4">
        <v>7.7</v>
      </c>
      <c r="I4" s="4">
        <v>7.5</v>
      </c>
      <c r="J4" s="5">
        <v>39.72</v>
      </c>
    </row>
    <row r="5" spans="1:10" ht="16.149999999999999" customHeight="1" x14ac:dyDescent="0.25">
      <c r="A5" s="143"/>
      <c r="B5" s="95" t="s">
        <v>37</v>
      </c>
      <c r="C5" s="91" t="s">
        <v>20</v>
      </c>
      <c r="D5" s="133" t="s">
        <v>61</v>
      </c>
      <c r="E5" s="57" t="s">
        <v>62</v>
      </c>
      <c r="F5" s="58">
        <f>171.6*0.112*1.33</f>
        <v>25.561536000000004</v>
      </c>
      <c r="G5" s="13">
        <v>96</v>
      </c>
      <c r="H5" s="13">
        <v>1.5</v>
      </c>
      <c r="I5" s="13">
        <v>0.5</v>
      </c>
      <c r="J5" s="34">
        <v>21</v>
      </c>
    </row>
    <row r="6" spans="1:10" ht="31.5" x14ac:dyDescent="0.25">
      <c r="A6" s="50"/>
      <c r="B6" s="32" t="s">
        <v>23</v>
      </c>
      <c r="C6" s="59">
        <v>2</v>
      </c>
      <c r="D6" s="134" t="s">
        <v>52</v>
      </c>
      <c r="E6" s="61">
        <v>200</v>
      </c>
      <c r="F6" s="62">
        <v>17.87</v>
      </c>
      <c r="G6" s="8">
        <v>100</v>
      </c>
      <c r="H6" s="8">
        <v>3.9</v>
      </c>
      <c r="I6" s="8">
        <v>3</v>
      </c>
      <c r="J6" s="9">
        <v>15.28</v>
      </c>
    </row>
    <row r="7" spans="1:10" ht="15.75" x14ac:dyDescent="0.25">
      <c r="A7" s="50"/>
      <c r="B7" s="102" t="s">
        <v>17</v>
      </c>
      <c r="C7" s="96" t="s">
        <v>20</v>
      </c>
      <c r="D7" s="97" t="s">
        <v>24</v>
      </c>
      <c r="E7" s="98">
        <v>36</v>
      </c>
      <c r="F7" s="99">
        <f>89.76*0.036</f>
        <v>3.23136</v>
      </c>
      <c r="G7" s="8">
        <f>41.6*36/20</f>
        <v>74.88000000000001</v>
      </c>
      <c r="H7" s="8">
        <f>1.6*36/20</f>
        <v>2.88</v>
      </c>
      <c r="I7" s="8">
        <f>0.03*36/20</f>
        <v>5.4000000000000006E-2</v>
      </c>
      <c r="J7" s="9">
        <f>8.02*36/20</f>
        <v>14.435999999999998</v>
      </c>
    </row>
    <row r="8" spans="1:10" ht="15.75" x14ac:dyDescent="0.25">
      <c r="A8" s="50"/>
      <c r="B8" s="103" t="s">
        <v>16</v>
      </c>
      <c r="C8" s="104" t="s">
        <v>20</v>
      </c>
      <c r="D8" s="97" t="s">
        <v>21</v>
      </c>
      <c r="E8" s="98">
        <v>36</v>
      </c>
      <c r="F8" s="99">
        <v>2.14</v>
      </c>
      <c r="G8" s="8">
        <f>40*36/20</f>
        <v>72</v>
      </c>
      <c r="H8" s="8">
        <f>0.98*36/20</f>
        <v>1.764</v>
      </c>
      <c r="I8" s="8">
        <f>0.2*36/20</f>
        <v>0.36</v>
      </c>
      <c r="J8" s="9">
        <f>8.95*36/20</f>
        <v>16.11</v>
      </c>
    </row>
    <row r="9" spans="1:10" ht="16.5" thickBot="1" x14ac:dyDescent="0.3">
      <c r="A9" s="35"/>
      <c r="B9" s="105"/>
      <c r="C9" s="106"/>
      <c r="D9" s="107"/>
      <c r="E9" s="108"/>
      <c r="F9" s="135">
        <f>SUM(F4:F8)</f>
        <v>78.002896000000007</v>
      </c>
      <c r="G9" s="109">
        <f>SUM(G4:G8)</f>
        <v>660.18</v>
      </c>
      <c r="H9" s="109">
        <f>SUM(H4:H8)</f>
        <v>17.744</v>
      </c>
      <c r="I9" s="109">
        <f>SUM(I4:I8)</f>
        <v>11.414</v>
      </c>
      <c r="J9" s="110">
        <f>SUM(J4:J8)</f>
        <v>106.54599999999999</v>
      </c>
    </row>
    <row r="10" spans="1:10" ht="15.75" x14ac:dyDescent="0.25">
      <c r="A10" s="31"/>
      <c r="B10" s="102" t="s">
        <v>15</v>
      </c>
      <c r="C10" s="111">
        <v>29</v>
      </c>
      <c r="D10" s="112" t="s">
        <v>43</v>
      </c>
      <c r="E10" s="113" t="s">
        <v>35</v>
      </c>
      <c r="F10" s="99">
        <f>65.97*45/45+2.92*45/45</f>
        <v>68.89</v>
      </c>
      <c r="G10" s="100">
        <v>161.1</v>
      </c>
      <c r="H10" s="100">
        <v>11.57</v>
      </c>
      <c r="I10" s="100">
        <v>11.48</v>
      </c>
      <c r="J10" s="101">
        <v>2.63</v>
      </c>
    </row>
    <row r="11" spans="1:10" ht="31.5" x14ac:dyDescent="0.25">
      <c r="A11" s="31"/>
      <c r="B11" s="102" t="s">
        <v>32</v>
      </c>
      <c r="C11" s="111">
        <v>24</v>
      </c>
      <c r="D11" s="112" t="s">
        <v>44</v>
      </c>
      <c r="E11" s="113" t="s">
        <v>57</v>
      </c>
      <c r="F11" s="99">
        <f>23.82*160/150</f>
        <v>25.407999999999998</v>
      </c>
      <c r="G11" s="100">
        <v>300.94</v>
      </c>
      <c r="H11" s="100">
        <v>6.28</v>
      </c>
      <c r="I11" s="100">
        <v>9.94</v>
      </c>
      <c r="J11" s="101">
        <v>46.69</v>
      </c>
    </row>
    <row r="12" spans="1:10" ht="15.75" x14ac:dyDescent="0.25">
      <c r="A12" s="31"/>
      <c r="B12" s="102" t="s">
        <v>58</v>
      </c>
      <c r="C12" s="111">
        <v>57</v>
      </c>
      <c r="D12" s="112" t="s">
        <v>59</v>
      </c>
      <c r="E12" s="113" t="s">
        <v>51</v>
      </c>
      <c r="F12" s="99">
        <v>1.65</v>
      </c>
      <c r="G12" s="100">
        <v>41</v>
      </c>
      <c r="H12" s="100">
        <v>0</v>
      </c>
      <c r="I12" s="100">
        <v>0</v>
      </c>
      <c r="J12" s="101">
        <v>10.01</v>
      </c>
    </row>
    <row r="13" spans="1:10" ht="15.75" x14ac:dyDescent="0.25">
      <c r="A13" s="31"/>
      <c r="B13" s="102" t="s">
        <v>17</v>
      </c>
      <c r="C13" s="111" t="s">
        <v>20</v>
      </c>
      <c r="D13" s="112" t="s">
        <v>24</v>
      </c>
      <c r="E13" s="113" t="s">
        <v>60</v>
      </c>
      <c r="F13" s="99">
        <f>89.76*0.027</f>
        <v>2.4235199999999999</v>
      </c>
      <c r="G13" s="100">
        <f>62.4*27/30</f>
        <v>56.16</v>
      </c>
      <c r="H13" s="100">
        <f>2.4*27/30</f>
        <v>2.1599999999999997</v>
      </c>
      <c r="I13" s="100">
        <f>0.45*27/30</f>
        <v>0.40500000000000003</v>
      </c>
      <c r="J13" s="101">
        <f>11.37*27/30</f>
        <v>10.232999999999999</v>
      </c>
    </row>
    <row r="14" spans="1:10" ht="15.75" x14ac:dyDescent="0.25">
      <c r="A14" s="31"/>
      <c r="B14" s="103" t="s">
        <v>16</v>
      </c>
      <c r="C14" s="114" t="s">
        <v>20</v>
      </c>
      <c r="D14" s="115" t="s">
        <v>21</v>
      </c>
      <c r="E14" s="116" t="s">
        <v>60</v>
      </c>
      <c r="F14" s="117">
        <v>1.63</v>
      </c>
      <c r="G14" s="118">
        <f>60*27/30</f>
        <v>54</v>
      </c>
      <c r="H14" s="118">
        <f>1.47*27/30</f>
        <v>1.323</v>
      </c>
      <c r="I14" s="118">
        <f>0.3*27/30</f>
        <v>0.26999999999999996</v>
      </c>
      <c r="J14" s="119">
        <f>13.44*27/30</f>
        <v>12.096</v>
      </c>
    </row>
    <row r="15" spans="1:10" ht="16.5" thickBot="1" x14ac:dyDescent="0.3">
      <c r="A15" s="33"/>
      <c r="B15" s="120"/>
      <c r="C15" s="121"/>
      <c r="D15" s="121"/>
      <c r="E15" s="122"/>
      <c r="F15" s="123">
        <f>SUM(F10:F14)</f>
        <v>100.00152</v>
      </c>
      <c r="G15" s="124">
        <f>SUM(G10:G14)</f>
        <v>613.19999999999993</v>
      </c>
      <c r="H15" s="124">
        <f>SUM(H10:H14)</f>
        <v>21.333000000000002</v>
      </c>
      <c r="I15" s="124">
        <f>SUM(I10:I14)</f>
        <v>22.095000000000002</v>
      </c>
      <c r="J15" s="125">
        <f>SUM(J10:J14)</f>
        <v>81.659000000000006</v>
      </c>
    </row>
    <row r="16" spans="1:10" ht="15.75" x14ac:dyDescent="0.25">
      <c r="A16" s="30"/>
      <c r="B16" s="126" t="s">
        <v>13</v>
      </c>
      <c r="C16" s="127">
        <v>4</v>
      </c>
      <c r="D16" s="128" t="s">
        <v>31</v>
      </c>
      <c r="E16" s="129" t="s">
        <v>34</v>
      </c>
      <c r="F16" s="130">
        <f>37.24*30/60</f>
        <v>18.62</v>
      </c>
      <c r="G16" s="131">
        <v>14.14</v>
      </c>
      <c r="H16" s="131">
        <v>0.66</v>
      </c>
      <c r="I16" s="131">
        <v>0.12</v>
      </c>
      <c r="J16" s="132">
        <v>2.2799999999999998</v>
      </c>
    </row>
    <row r="17" spans="1:10" ht="15.75" x14ac:dyDescent="0.25">
      <c r="A17" s="31"/>
      <c r="B17" s="102" t="s">
        <v>14</v>
      </c>
      <c r="C17" s="111">
        <v>5</v>
      </c>
      <c r="D17" s="112" t="s">
        <v>41</v>
      </c>
      <c r="E17" s="113" t="s">
        <v>42</v>
      </c>
      <c r="F17" s="99">
        <v>10.76</v>
      </c>
      <c r="G17" s="100">
        <v>163.75</v>
      </c>
      <c r="H17" s="100">
        <v>5.08</v>
      </c>
      <c r="I17" s="100">
        <v>5.35</v>
      </c>
      <c r="J17" s="101">
        <v>23.85</v>
      </c>
    </row>
    <row r="18" spans="1:10" ht="15.75" x14ac:dyDescent="0.25">
      <c r="A18" s="31"/>
      <c r="B18" s="102" t="s">
        <v>15</v>
      </c>
      <c r="C18" s="111">
        <v>29</v>
      </c>
      <c r="D18" s="112" t="s">
        <v>43</v>
      </c>
      <c r="E18" s="113" t="s">
        <v>35</v>
      </c>
      <c r="F18" s="99">
        <f>65.97*45/45+2.92*45/45</f>
        <v>68.89</v>
      </c>
      <c r="G18" s="100">
        <v>161.1</v>
      </c>
      <c r="H18" s="100">
        <v>11.57</v>
      </c>
      <c r="I18" s="100">
        <v>11.48</v>
      </c>
      <c r="J18" s="101">
        <v>2.63</v>
      </c>
    </row>
    <row r="19" spans="1:10" ht="31.5" x14ac:dyDescent="0.25">
      <c r="A19" s="31"/>
      <c r="B19" s="102" t="s">
        <v>32</v>
      </c>
      <c r="C19" s="111">
        <v>24</v>
      </c>
      <c r="D19" s="112" t="s">
        <v>44</v>
      </c>
      <c r="E19" s="113" t="s">
        <v>33</v>
      </c>
      <c r="F19" s="99">
        <f>23.82*150/150</f>
        <v>23.82</v>
      </c>
      <c r="G19" s="100">
        <v>300.94</v>
      </c>
      <c r="H19" s="100">
        <v>6.28</v>
      </c>
      <c r="I19" s="100">
        <v>9.94</v>
      </c>
      <c r="J19" s="101">
        <v>46.69</v>
      </c>
    </row>
    <row r="20" spans="1:10" ht="15.75" x14ac:dyDescent="0.25">
      <c r="A20" s="31"/>
      <c r="B20" s="102" t="s">
        <v>58</v>
      </c>
      <c r="C20" s="111">
        <v>57</v>
      </c>
      <c r="D20" s="112" t="s">
        <v>59</v>
      </c>
      <c r="E20" s="113" t="s">
        <v>51</v>
      </c>
      <c r="F20" s="99">
        <v>1.65</v>
      </c>
      <c r="G20" s="100">
        <v>41</v>
      </c>
      <c r="H20" s="100">
        <v>0</v>
      </c>
      <c r="I20" s="100">
        <v>0</v>
      </c>
      <c r="J20" s="101">
        <v>10.01</v>
      </c>
    </row>
    <row r="21" spans="1:10" ht="15.75" x14ac:dyDescent="0.25">
      <c r="A21" s="31"/>
      <c r="B21" s="102" t="s">
        <v>17</v>
      </c>
      <c r="C21" s="111" t="s">
        <v>20</v>
      </c>
      <c r="D21" s="112" t="s">
        <v>24</v>
      </c>
      <c r="E21" s="113" t="s">
        <v>63</v>
      </c>
      <c r="F21" s="99">
        <f>89.76*0.025</f>
        <v>2.2440000000000002</v>
      </c>
      <c r="G21" s="100">
        <f>62.4*25/30</f>
        <v>52</v>
      </c>
      <c r="H21" s="100">
        <f>2.4*25/30</f>
        <v>2</v>
      </c>
      <c r="I21" s="100">
        <f>0.45*25/30</f>
        <v>0.375</v>
      </c>
      <c r="J21" s="101">
        <f>11.37*25/30</f>
        <v>9.4749999999999996</v>
      </c>
    </row>
    <row r="22" spans="1:10" ht="15.75" x14ac:dyDescent="0.25">
      <c r="A22" s="31"/>
      <c r="B22" s="103" t="s">
        <v>16</v>
      </c>
      <c r="C22" s="114" t="s">
        <v>20</v>
      </c>
      <c r="D22" s="115" t="s">
        <v>21</v>
      </c>
      <c r="E22" s="116" t="s">
        <v>63</v>
      </c>
      <c r="F22" s="117">
        <f>60.86*0.025</f>
        <v>1.5215000000000001</v>
      </c>
      <c r="G22" s="118">
        <f>60*25/30</f>
        <v>50</v>
      </c>
      <c r="H22" s="118">
        <f>1.47*25/30</f>
        <v>1.2250000000000001</v>
      </c>
      <c r="I22" s="118">
        <f>0.3*25/30</f>
        <v>0.25</v>
      </c>
      <c r="J22" s="119">
        <f>13.44*25/30</f>
        <v>11.2</v>
      </c>
    </row>
    <row r="23" spans="1:10" ht="16.5" thickBot="1" x14ac:dyDescent="0.3">
      <c r="A23" s="33"/>
      <c r="B23" s="120"/>
      <c r="C23" s="121"/>
      <c r="D23" s="121"/>
      <c r="E23" s="122"/>
      <c r="F23" s="123">
        <v>125</v>
      </c>
      <c r="G23" s="124">
        <f>SUM(G16:G22)</f>
        <v>782.93000000000006</v>
      </c>
      <c r="H23" s="124">
        <f>SUM(H16:H22)</f>
        <v>26.815000000000005</v>
      </c>
      <c r="I23" s="124">
        <f>SUM(I16:I22)</f>
        <v>27.515000000000001</v>
      </c>
      <c r="J23" s="125">
        <f>SUM(J16:J22)</f>
        <v>106.13500000000001</v>
      </c>
    </row>
    <row r="24" spans="1:10" ht="31.5" x14ac:dyDescent="0.25">
      <c r="A24" s="31"/>
      <c r="B24" s="102" t="s">
        <v>14</v>
      </c>
      <c r="C24" s="111">
        <v>5</v>
      </c>
      <c r="D24" s="112" t="s">
        <v>65</v>
      </c>
      <c r="E24" s="113" t="s">
        <v>66</v>
      </c>
      <c r="F24" s="99">
        <f>10.76*235/250+9.8*1.5</f>
        <v>24.814399999999999</v>
      </c>
      <c r="G24" s="100">
        <v>163.75</v>
      </c>
      <c r="H24" s="100">
        <v>5.08</v>
      </c>
      <c r="I24" s="100">
        <v>5.35</v>
      </c>
      <c r="J24" s="101">
        <v>23.85</v>
      </c>
    </row>
    <row r="25" spans="1:10" ht="15.75" x14ac:dyDescent="0.25">
      <c r="A25" s="31"/>
      <c r="B25" s="102" t="s">
        <v>23</v>
      </c>
      <c r="C25" s="111">
        <v>25</v>
      </c>
      <c r="D25" s="112" t="s">
        <v>67</v>
      </c>
      <c r="E25" s="113" t="s">
        <v>51</v>
      </c>
      <c r="F25" s="99">
        <v>17.82</v>
      </c>
      <c r="G25" s="100">
        <v>136</v>
      </c>
      <c r="H25" s="100">
        <v>0.6</v>
      </c>
      <c r="I25" s="100">
        <v>0</v>
      </c>
      <c r="J25" s="101">
        <v>33</v>
      </c>
    </row>
    <row r="26" spans="1:10" ht="15.75" x14ac:dyDescent="0.25">
      <c r="A26" s="31"/>
      <c r="B26" s="102" t="s">
        <v>32</v>
      </c>
      <c r="C26" s="111">
        <v>67</v>
      </c>
      <c r="D26" s="112" t="s">
        <v>68</v>
      </c>
      <c r="E26" s="113" t="s">
        <v>69</v>
      </c>
      <c r="F26" s="99">
        <f>32.96*90/100</f>
        <v>29.664000000000001</v>
      </c>
      <c r="G26" s="100">
        <f>565.01*90/100</f>
        <v>508.50900000000001</v>
      </c>
      <c r="H26" s="100">
        <v>10.5</v>
      </c>
      <c r="I26" s="100">
        <v>20.75</v>
      </c>
      <c r="J26" s="101">
        <v>83.75</v>
      </c>
    </row>
    <row r="27" spans="1:10" ht="15.75" x14ac:dyDescent="0.25">
      <c r="A27" s="31"/>
      <c r="B27" s="102" t="s">
        <v>17</v>
      </c>
      <c r="C27" s="111" t="s">
        <v>20</v>
      </c>
      <c r="D27" s="112" t="s">
        <v>24</v>
      </c>
      <c r="E27" s="113" t="s">
        <v>34</v>
      </c>
      <c r="F27" s="99">
        <v>2.7</v>
      </c>
      <c r="G27" s="100">
        <f>62.4*30/30</f>
        <v>62.4</v>
      </c>
      <c r="H27" s="100">
        <f>2.4*30/30</f>
        <v>2.4</v>
      </c>
      <c r="I27" s="100">
        <f>0.45*30/30</f>
        <v>0.45</v>
      </c>
      <c r="J27" s="101">
        <f>11.37*30/30</f>
        <v>11.37</v>
      </c>
    </row>
    <row r="28" spans="1:10" ht="16.5" thickBot="1" x14ac:dyDescent="0.3">
      <c r="A28" s="33"/>
      <c r="B28" s="120"/>
      <c r="C28" s="121"/>
      <c r="D28" s="121"/>
      <c r="E28" s="122"/>
      <c r="F28" s="123">
        <f>SUM(F24:F27)</f>
        <v>74.998400000000004</v>
      </c>
      <c r="G28" s="124">
        <f>SUM(G24:G27)</f>
        <v>870.65899999999999</v>
      </c>
      <c r="H28" s="124">
        <f>SUM(H24:H27)</f>
        <v>18.579999999999998</v>
      </c>
      <c r="I28" s="124">
        <f>SUM(I24:I27)</f>
        <v>26.55</v>
      </c>
      <c r="J28" s="125">
        <f>SUM(J24:J27)</f>
        <v>151.97</v>
      </c>
    </row>
    <row r="29" spans="1:10" x14ac:dyDescent="0.25">
      <c r="A29" s="23" t="s">
        <v>28</v>
      </c>
      <c r="B29"/>
      <c r="C29"/>
      <c r="D29"/>
    </row>
    <row r="30" spans="1:10" x14ac:dyDescent="0.25">
      <c r="A30"/>
      <c r="B30"/>
      <c r="C30"/>
      <c r="D30"/>
    </row>
    <row r="31" spans="1:10" x14ac:dyDescent="0.25">
      <c r="A31" s="23" t="s">
        <v>29</v>
      </c>
      <c r="B31"/>
      <c r="C31"/>
      <c r="D31"/>
    </row>
    <row r="42" spans="1:4" x14ac:dyDescent="0.25">
      <c r="A42"/>
      <c r="B42"/>
      <c r="C42"/>
      <c r="D42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scale="96" orientation="portrait" r:id="rId1"/>
  <ignoredErrors>
    <ignoredError sqref="F16 F4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2022-09-07T09:38:40Z</cp:lastPrinted>
  <dcterms:created xsi:type="dcterms:W3CDTF">2015-06-05T18:19:34Z</dcterms:created>
  <dcterms:modified xsi:type="dcterms:W3CDTF">2023-05-02T05:49:32Z</dcterms:modified>
</cp:coreProperties>
</file>