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473CCE82-77A5-4F2F-8447-CB20530DB1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21" i="2"/>
  <c r="F22" i="2"/>
  <c r="J18" i="2"/>
  <c r="I18" i="2"/>
  <c r="H18" i="2"/>
  <c r="G18" i="2"/>
  <c r="J17" i="2"/>
  <c r="I17" i="2"/>
  <c r="H17" i="2"/>
  <c r="G17" i="2"/>
  <c r="F18" i="2"/>
  <c r="F17" i="2"/>
  <c r="F12" i="2"/>
  <c r="F13" i="2"/>
  <c r="F37" i="1"/>
  <c r="F35" i="1"/>
  <c r="F36" i="1"/>
  <c r="F17" i="1"/>
  <c r="F16" i="1"/>
  <c r="J27" i="2"/>
  <c r="I27" i="2"/>
  <c r="H27" i="2"/>
  <c r="G27" i="2"/>
  <c r="J26" i="2"/>
  <c r="I26" i="2"/>
  <c r="H26" i="2"/>
  <c r="G26" i="2"/>
  <c r="F26" i="2"/>
  <c r="F23" i="2"/>
  <c r="F14" i="2"/>
  <c r="J6" i="2"/>
  <c r="I6" i="2"/>
  <c r="H6" i="2"/>
  <c r="G6" i="2"/>
  <c r="J9" i="2"/>
  <c r="I9" i="2"/>
  <c r="H9" i="2"/>
  <c r="G9" i="2"/>
  <c r="F9" i="2"/>
  <c r="J39" i="1"/>
  <c r="I39" i="1"/>
  <c r="H39" i="1"/>
  <c r="G39" i="1"/>
  <c r="F40" i="1"/>
  <c r="J13" i="1"/>
  <c r="I13" i="1"/>
  <c r="H13" i="1"/>
  <c r="G13" i="1"/>
  <c r="F33" i="1"/>
  <c r="J27" i="1"/>
  <c r="H27" i="1"/>
  <c r="G27" i="1"/>
  <c r="J26" i="1"/>
  <c r="I26" i="1"/>
  <c r="H26" i="1"/>
  <c r="G26" i="1"/>
  <c r="F26" i="1"/>
  <c r="J29" i="1"/>
  <c r="I29" i="1"/>
  <c r="H29" i="1"/>
  <c r="G29" i="1"/>
  <c r="F29" i="1"/>
  <c r="J20" i="1"/>
  <c r="I20" i="1"/>
  <c r="H20" i="1"/>
  <c r="G20" i="1"/>
  <c r="J19" i="1"/>
  <c r="I19" i="1"/>
  <c r="H19" i="1"/>
  <c r="G19" i="1"/>
  <c r="F20" i="1"/>
  <c r="F19" i="1"/>
  <c r="F13" i="1"/>
  <c r="F9" i="1"/>
  <c r="G24" i="2"/>
  <c r="G15" i="2"/>
  <c r="G33" i="1"/>
  <c r="J7" i="2"/>
  <c r="I7" i="2"/>
  <c r="H7" i="2"/>
  <c r="G7" i="2"/>
  <c r="F7" i="2"/>
  <c r="F8" i="2"/>
  <c r="F10" i="2"/>
  <c r="F24" i="2"/>
  <c r="F15" i="2"/>
  <c r="J40" i="1"/>
  <c r="I40" i="1"/>
  <c r="H40" i="1"/>
  <c r="G40" i="1"/>
  <c r="F19" i="2" l="1"/>
  <c r="F41" i="1"/>
  <c r="F28" i="2"/>
  <c r="F11" i="2"/>
  <c r="G41" i="1"/>
  <c r="F30" i="1"/>
  <c r="F31" i="1" s="1"/>
  <c r="F10" i="1"/>
  <c r="J22" i="2"/>
  <c r="I22" i="2"/>
  <c r="H22" i="2"/>
  <c r="G22" i="2"/>
  <c r="G28" i="2" s="1"/>
  <c r="J13" i="2" l="1"/>
  <c r="I13" i="2"/>
  <c r="H13" i="2"/>
  <c r="G13" i="2"/>
  <c r="G19" i="2" s="1"/>
  <c r="J10" i="2" l="1"/>
  <c r="I10" i="2"/>
  <c r="H10" i="2"/>
  <c r="G10" i="2"/>
  <c r="F7" i="1"/>
  <c r="F6" i="1"/>
  <c r="J30" i="1"/>
  <c r="I30" i="1"/>
  <c r="H30" i="1"/>
  <c r="G30" i="1"/>
  <c r="J19" i="2"/>
  <c r="I19" i="2"/>
  <c r="H19" i="2"/>
  <c r="F15" i="1" l="1"/>
  <c r="F8" i="1" l="1"/>
  <c r="J28" i="2" l="1"/>
  <c r="I28" i="2"/>
  <c r="H28" i="2"/>
  <c r="J10" i="1" l="1"/>
  <c r="I10" i="1"/>
  <c r="H10" i="1"/>
  <c r="G10" i="1"/>
  <c r="G21" i="1" l="1"/>
  <c r="J11" i="2"/>
  <c r="H11" i="2"/>
  <c r="G11" i="2"/>
  <c r="I11" i="2" l="1"/>
  <c r="J41" i="1"/>
  <c r="H41" i="1"/>
  <c r="J31" i="1"/>
  <c r="J34" i="1"/>
  <c r="I34" i="1"/>
  <c r="H34" i="1"/>
  <c r="G34" i="1"/>
  <c r="G31" i="1"/>
  <c r="G14" i="1"/>
  <c r="I41" i="1" l="1"/>
  <c r="J11" i="1"/>
  <c r="H11" i="1"/>
  <c r="H31" i="1"/>
  <c r="I31" i="1"/>
  <c r="G11" i="1"/>
  <c r="I11" i="1"/>
  <c r="J21" i="1"/>
  <c r="I21" i="1"/>
  <c r="H21" i="1"/>
  <c r="J14" i="1"/>
  <c r="I14" i="1"/>
  <c r="H14" i="1"/>
</calcChain>
</file>

<file path=xl/sharedStrings.xml><?xml version="1.0" encoding="utf-8"?>
<sst xmlns="http://schemas.openxmlformats.org/spreadsheetml/2006/main" count="202" uniqueCount="70">
  <si>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</si>
  <si>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</si>
  <si>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</si>
  <si>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</si>
  <si>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</si>
  <si>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</si>
  <si>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</si>
  <si>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</si>
  <si>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</si>
  <si>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</si>
  <si>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</si>
  <si>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</si>
  <si>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</si>
  <si>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</si>
  <si>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</si>
  <si>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</si>
  <si>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</si>
  <si>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</si>
  <si>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</si>
  <si>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</si>
  <si>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</si>
  <si>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</si>
  <si>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</si>
  <si>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</si>
  <si>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</si>
  <si>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</si>
  <si>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</si>
  <si>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</si>
  <si>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</si>
  <si>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</si>
  <si>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</si>
  <si>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</si>
  <si>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</si>
  <si>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</si>
  <si>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</si>
  <si>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</si>
  <si>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</si>
  <si>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</si>
  <si>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</si>
  <si>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</si>
  <si>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</si>
  <si>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</si>
  <si>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Сырники из творога запеч. с молоком сгущенным</t>
  </si>
  <si>
    <t xml:space="preserve">Какао с молоком </t>
  </si>
  <si>
    <t>Суп картофельный с мясными фрикадельками</t>
  </si>
  <si>
    <t>60</t>
  </si>
  <si>
    <t>20</t>
  </si>
  <si>
    <t>30</t>
  </si>
  <si>
    <t>День 4</t>
  </si>
  <si>
    <t>гарнир</t>
  </si>
  <si>
    <t>Пюре картофельное</t>
  </si>
  <si>
    <t>Кампот из смеси сухофруктов</t>
  </si>
  <si>
    <t>Котлеты рубленый из птицы</t>
  </si>
  <si>
    <t>Соус сметанный с томатом</t>
  </si>
  <si>
    <t>90</t>
  </si>
  <si>
    <t>Вафли</t>
  </si>
  <si>
    <t>130/20</t>
  </si>
  <si>
    <t>40</t>
  </si>
  <si>
    <t>25</t>
  </si>
  <si>
    <t>22</t>
  </si>
  <si>
    <t>100/10</t>
  </si>
  <si>
    <t>32</t>
  </si>
  <si>
    <t>0,3*32/30</t>
  </si>
  <si>
    <t>65</t>
  </si>
  <si>
    <t>41</t>
  </si>
  <si>
    <t>230/20</t>
  </si>
  <si>
    <t>155/45</t>
  </si>
  <si>
    <t>150</t>
  </si>
  <si>
    <t>27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</si>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</sst>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 applyProtection="1">
      <protection locked="0"/>
    </xf>
    <xf numFmtId="0" fontId="3" fillId="0" borderId="17" xfId="0" applyFont="1" applyBorder="1"/>
    <xf numFmtId="0" fontId="5" fillId="0" borderId="17" xfId="0" applyFont="1" applyBorder="1" applyAlignment="1">
      <alignment horizontal="center"/>
    </xf>
    <xf numFmtId="2" fontId="3" fillId="0" borderId="17" xfId="0" applyNumberFormat="1" applyFont="1" applyBorder="1"/>
    <xf numFmtId="2" fontId="3" fillId="0" borderId="18" xfId="0" applyNumberFormat="1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0" fontId="8" fillId="0" borderId="17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2" fontId="8" fillId="0" borderId="17" xfId="0" applyNumberFormat="1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24" xfId="0" applyBorder="1"/>
    <xf numFmtId="2" fontId="9" fillId="0" borderId="17" xfId="0" applyNumberFormat="1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3"/>
  <sheetViews>
    <sheetView tabSelected="1" zoomScale="110" zoomScaleNormal="110"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9" customWidth="1"/>
    <col min="6" max="6" width="7.5703125" style="19" bestFit="1" customWidth="1"/>
    <col min="7" max="7" width="7.7109375" customWidth="1"/>
    <col min="8" max="8" width="6.140625" bestFit="1" customWidth="1"/>
    <col min="9" max="9" width="11.42578125" customWidth="1"/>
    <col min="10" max="10" width="8.5703125" customWidth="1"/>
  </cols>
  <sheetData>
    <row r="1" spans="1:10" ht="28.9" customHeight="1" x14ac:dyDescent="0.25">
      <c r="A1" t="s">
        <v>0</v>
      </c>
      <c r="B1" s="106" t="s">
        <v>69</v>
      </c>
      <c r="C1" s="107"/>
      <c r="D1" s="108"/>
      <c r="E1" s="19" t="s">
        <v>28</v>
      </c>
      <c r="F1" s="18"/>
      <c r="G1" s="109" t="s">
        <v>48</v>
      </c>
      <c r="H1" s="110"/>
      <c r="I1" s="17">
        <v>45044</v>
      </c>
    </row>
    <row r="2" spans="1:10" ht="15.75" thickBot="1" x14ac:dyDescent="0.3">
      <c r="B2" s="1" t="s">
        <v>27</v>
      </c>
    </row>
    <row r="3" spans="1:10" s="25" customFormat="1" ht="30.75" thickBot="1" x14ac:dyDescent="0.3">
      <c r="A3" s="21" t="s">
        <v>1</v>
      </c>
      <c r="B3" s="22" t="s">
        <v>2</v>
      </c>
      <c r="C3" s="22" t="s">
        <v>19</v>
      </c>
      <c r="D3" s="22" t="s">
        <v>3</v>
      </c>
      <c r="E3" s="55" t="s">
        <v>20</v>
      </c>
      <c r="F3" s="55" t="s">
        <v>4</v>
      </c>
      <c r="G3" s="23" t="s">
        <v>5</v>
      </c>
      <c r="H3" s="22" t="s">
        <v>6</v>
      </c>
      <c r="I3" s="22" t="s">
        <v>7</v>
      </c>
      <c r="J3" s="24" t="s">
        <v>8</v>
      </c>
    </row>
    <row r="4" spans="1:10" ht="30" x14ac:dyDescent="0.25">
      <c r="A4" s="5" t="s">
        <v>9</v>
      </c>
      <c r="B4" s="39" t="s">
        <v>10</v>
      </c>
      <c r="C4" s="64">
        <v>9</v>
      </c>
      <c r="D4" s="65" t="s">
        <v>34</v>
      </c>
      <c r="E4" s="99" t="s">
        <v>35</v>
      </c>
      <c r="F4" s="100">
        <v>16.02</v>
      </c>
      <c r="G4" s="7">
        <v>216.92</v>
      </c>
      <c r="H4" s="7">
        <v>6.35</v>
      </c>
      <c r="I4" s="7">
        <v>7.11</v>
      </c>
      <c r="J4" s="8">
        <v>32.29</v>
      </c>
    </row>
    <row r="5" spans="1:10" ht="15.75" x14ac:dyDescent="0.25">
      <c r="A5" s="9"/>
      <c r="B5" s="41" t="s">
        <v>11</v>
      </c>
      <c r="C5" s="66">
        <v>36</v>
      </c>
      <c r="D5" s="67" t="s">
        <v>43</v>
      </c>
      <c r="E5" s="57">
        <v>200</v>
      </c>
      <c r="F5" s="85">
        <v>14.41</v>
      </c>
      <c r="G5" s="11">
        <v>117</v>
      </c>
      <c r="H5" s="11">
        <v>4.45</v>
      </c>
      <c r="I5" s="11">
        <v>3.6</v>
      </c>
      <c r="J5" s="12">
        <v>16.149999999999999</v>
      </c>
    </row>
    <row r="6" spans="1:10" ht="15.75" x14ac:dyDescent="0.25">
      <c r="A6" s="9"/>
      <c r="B6" s="42" t="s">
        <v>18</v>
      </c>
      <c r="C6" s="66" t="s">
        <v>21</v>
      </c>
      <c r="D6" s="67" t="s">
        <v>36</v>
      </c>
      <c r="E6" s="57">
        <v>20</v>
      </c>
      <c r="F6" s="85">
        <f>96.75*0.02</f>
        <v>1.9350000000000001</v>
      </c>
      <c r="G6" s="11">
        <v>41.6</v>
      </c>
      <c r="H6" s="11">
        <v>1.6</v>
      </c>
      <c r="I6" s="11">
        <v>0.03</v>
      </c>
      <c r="J6" s="12">
        <v>8.02</v>
      </c>
    </row>
    <row r="7" spans="1:10" ht="15.75" x14ac:dyDescent="0.25">
      <c r="A7" s="9"/>
      <c r="B7" s="16" t="s">
        <v>16</v>
      </c>
      <c r="C7" s="72" t="s">
        <v>21</v>
      </c>
      <c r="D7" s="73" t="s">
        <v>22</v>
      </c>
      <c r="E7" s="60" t="s">
        <v>46</v>
      </c>
      <c r="F7" s="91">
        <f>50.71*0.02</f>
        <v>1.0142</v>
      </c>
      <c r="G7" s="13">
        <v>40</v>
      </c>
      <c r="H7" s="13">
        <v>0.98</v>
      </c>
      <c r="I7" s="13">
        <v>0.2</v>
      </c>
      <c r="J7" s="14">
        <v>8.9499999999999993</v>
      </c>
    </row>
    <row r="8" spans="1:10" ht="30" x14ac:dyDescent="0.25">
      <c r="A8" s="9"/>
      <c r="B8" s="94" t="s">
        <v>23</v>
      </c>
      <c r="C8" s="66">
        <v>3</v>
      </c>
      <c r="D8" s="67" t="s">
        <v>37</v>
      </c>
      <c r="E8" s="57">
        <v>10</v>
      </c>
      <c r="F8" s="85">
        <f>9.82*10/10</f>
        <v>9.82</v>
      </c>
      <c r="G8" s="11">
        <v>64.7</v>
      </c>
      <c r="H8" s="11">
        <v>0.08</v>
      </c>
      <c r="I8" s="11">
        <v>7.15</v>
      </c>
      <c r="J8" s="12">
        <v>0.12</v>
      </c>
    </row>
    <row r="9" spans="1:10" ht="15.75" x14ac:dyDescent="0.25">
      <c r="A9" s="9"/>
      <c r="B9" s="94" t="s">
        <v>23</v>
      </c>
      <c r="C9" s="93">
        <v>6</v>
      </c>
      <c r="D9" s="67" t="s">
        <v>38</v>
      </c>
      <c r="E9" s="57">
        <v>10</v>
      </c>
      <c r="F9" s="85">
        <f>10.02*10/12</f>
        <v>8.35</v>
      </c>
      <c r="G9" s="15">
        <v>36</v>
      </c>
      <c r="H9" s="15">
        <v>1.36</v>
      </c>
      <c r="I9" s="15">
        <v>2.76</v>
      </c>
      <c r="J9" s="49">
        <v>0.31</v>
      </c>
    </row>
    <row r="10" spans="1:10" ht="15.75" x14ac:dyDescent="0.25">
      <c r="A10" s="9"/>
      <c r="B10" s="94" t="s">
        <v>23</v>
      </c>
      <c r="C10" s="93" t="s">
        <v>21</v>
      </c>
      <c r="D10" s="67" t="s">
        <v>55</v>
      </c>
      <c r="E10" s="57">
        <v>40</v>
      </c>
      <c r="F10" s="85">
        <f>225.6*0.04</f>
        <v>9.0239999999999991</v>
      </c>
      <c r="G10" s="11">
        <f>127.12</f>
        <v>127.12</v>
      </c>
      <c r="H10" s="11">
        <f>2.14</f>
        <v>2.14</v>
      </c>
      <c r="I10" s="11">
        <f>2.8</f>
        <v>2.8</v>
      </c>
      <c r="J10" s="12">
        <f>23.34</f>
        <v>23.34</v>
      </c>
    </row>
    <row r="11" spans="1:10" ht="16.5" thickBot="1" x14ac:dyDescent="0.3">
      <c r="A11" s="78"/>
      <c r="B11" s="79"/>
      <c r="C11" s="80"/>
      <c r="D11" s="81"/>
      <c r="E11" s="82"/>
      <c r="F11" s="89">
        <v>58.52</v>
      </c>
      <c r="G11" s="83">
        <f>SUM(G4:G10)</f>
        <v>643.34</v>
      </c>
      <c r="H11" s="83">
        <f>SUM(H4:H10)</f>
        <v>16.96</v>
      </c>
      <c r="I11" s="83">
        <f>SUM(I4:I10)</f>
        <v>23.650000000000002</v>
      </c>
      <c r="J11" s="101">
        <f>SUM(J4:J10)</f>
        <v>89.18</v>
      </c>
    </row>
    <row r="12" spans="1:10" ht="15.75" x14ac:dyDescent="0.25">
      <c r="A12" s="5" t="s">
        <v>24</v>
      </c>
      <c r="B12" s="41" t="s">
        <v>11</v>
      </c>
      <c r="C12" s="68">
        <v>30</v>
      </c>
      <c r="D12" s="69" t="s">
        <v>39</v>
      </c>
      <c r="E12" s="58">
        <v>200</v>
      </c>
      <c r="F12" s="88">
        <v>3.26</v>
      </c>
      <c r="G12" s="7">
        <v>43</v>
      </c>
      <c r="H12" s="7">
        <v>0.06</v>
      </c>
      <c r="I12" s="7">
        <v>0.01</v>
      </c>
      <c r="J12" s="8">
        <v>10.220000000000001</v>
      </c>
    </row>
    <row r="13" spans="1:10" ht="45" x14ac:dyDescent="0.25">
      <c r="A13" s="9"/>
      <c r="B13" s="94" t="s">
        <v>23</v>
      </c>
      <c r="C13" s="70">
        <v>31</v>
      </c>
      <c r="D13" s="71" t="s">
        <v>42</v>
      </c>
      <c r="E13" s="59" t="s">
        <v>60</v>
      </c>
      <c r="F13" s="85">
        <f>50.18*100/130+5.73*10/20</f>
        <v>41.465000000000003</v>
      </c>
      <c r="G13" s="11">
        <f>400.13*110/150</f>
        <v>293.42866666666669</v>
      </c>
      <c r="H13" s="11">
        <f>22.24*110/150</f>
        <v>16.309333333333331</v>
      </c>
      <c r="I13" s="11">
        <f>17.73*110/150</f>
        <v>13.001999999999999</v>
      </c>
      <c r="J13" s="12">
        <f>137.9*110/150</f>
        <v>101.12666666666667</v>
      </c>
    </row>
    <row r="14" spans="1:10" ht="16.5" thickBot="1" x14ac:dyDescent="0.3">
      <c r="A14" s="74"/>
      <c r="B14" s="51"/>
      <c r="C14" s="75"/>
      <c r="D14" s="76"/>
      <c r="E14" s="77"/>
      <c r="F14" s="90">
        <v>43.9</v>
      </c>
      <c r="G14" s="86">
        <f>SUM(G12:G13)</f>
        <v>336.42866666666669</v>
      </c>
      <c r="H14" s="86">
        <f t="shared" ref="H14:J14" si="0">SUM(H12:H13)</f>
        <v>16.36933333333333</v>
      </c>
      <c r="I14" s="86">
        <f t="shared" si="0"/>
        <v>13.011999999999999</v>
      </c>
      <c r="J14" s="87">
        <f t="shared" si="0"/>
        <v>111.34666666666666</v>
      </c>
    </row>
    <row r="15" spans="1:10" ht="15.75" x14ac:dyDescent="0.25">
      <c r="A15" s="5" t="s">
        <v>12</v>
      </c>
      <c r="B15" s="6" t="s">
        <v>13</v>
      </c>
      <c r="C15" s="68">
        <v>4</v>
      </c>
      <c r="D15" s="69" t="s">
        <v>33</v>
      </c>
      <c r="E15" s="56" t="s">
        <v>45</v>
      </c>
      <c r="F15" s="88">
        <f>28.02*60/60</f>
        <v>28.02</v>
      </c>
      <c r="G15" s="7">
        <v>8.4</v>
      </c>
      <c r="H15" s="7">
        <v>0.48</v>
      </c>
      <c r="I15" s="7">
        <v>0.06</v>
      </c>
      <c r="J15" s="8">
        <v>1.5</v>
      </c>
    </row>
    <row r="16" spans="1:10" ht="45" x14ac:dyDescent="0.25">
      <c r="A16" s="9"/>
      <c r="B16" s="10" t="s">
        <v>14</v>
      </c>
      <c r="C16" s="70">
        <v>49</v>
      </c>
      <c r="D16" s="71" t="s">
        <v>44</v>
      </c>
      <c r="E16" s="59" t="s">
        <v>65</v>
      </c>
      <c r="F16" s="85">
        <f>10.85*230/220+17.61*20/30</f>
        <v>23.083181818181821</v>
      </c>
      <c r="G16" s="11">
        <v>207.54</v>
      </c>
      <c r="H16" s="11">
        <v>8.33</v>
      </c>
      <c r="I16" s="11">
        <v>5.79</v>
      </c>
      <c r="J16" s="12">
        <v>20.440000000000001</v>
      </c>
    </row>
    <row r="17" spans="1:10" ht="30" x14ac:dyDescent="0.25">
      <c r="A17" s="9"/>
      <c r="B17" s="10" t="s">
        <v>15</v>
      </c>
      <c r="C17" s="70">
        <v>48</v>
      </c>
      <c r="D17" s="71" t="s">
        <v>40</v>
      </c>
      <c r="E17" s="59" t="s">
        <v>56</v>
      </c>
      <c r="F17" s="85">
        <f>13.74*20/37+11.75*130/113</f>
        <v>20.944726142071275</v>
      </c>
      <c r="G17" s="11">
        <v>197.15</v>
      </c>
      <c r="H17" s="11">
        <v>9.2100000000000009</v>
      </c>
      <c r="I17" s="11">
        <v>9.8000000000000007</v>
      </c>
      <c r="J17" s="12">
        <v>8.6300000000000008</v>
      </c>
    </row>
    <row r="18" spans="1:10" ht="15.75" x14ac:dyDescent="0.25">
      <c r="A18" s="9"/>
      <c r="B18" s="10" t="s">
        <v>25</v>
      </c>
      <c r="C18" s="70">
        <v>25</v>
      </c>
      <c r="D18" s="71" t="s">
        <v>41</v>
      </c>
      <c r="E18" s="59">
        <v>200</v>
      </c>
      <c r="F18" s="85">
        <v>13.4</v>
      </c>
      <c r="G18" s="11">
        <v>136</v>
      </c>
      <c r="H18" s="11">
        <v>0.6</v>
      </c>
      <c r="I18" s="11">
        <v>0</v>
      </c>
      <c r="J18" s="12">
        <v>33</v>
      </c>
    </row>
    <row r="19" spans="1:10" ht="15.75" x14ac:dyDescent="0.25">
      <c r="A19" s="9"/>
      <c r="B19" s="10" t="s">
        <v>18</v>
      </c>
      <c r="C19" s="70" t="s">
        <v>21</v>
      </c>
      <c r="D19" s="71" t="s">
        <v>26</v>
      </c>
      <c r="E19" s="59" t="s">
        <v>47</v>
      </c>
      <c r="F19" s="85">
        <f>74.8*0.03</f>
        <v>2.2439999999999998</v>
      </c>
      <c r="G19" s="11">
        <f>62.4*30/30</f>
        <v>62.4</v>
      </c>
      <c r="H19" s="11">
        <f>2.4*30/30</f>
        <v>2.4</v>
      </c>
      <c r="I19" s="11">
        <f>0.45*30/30</f>
        <v>0.45</v>
      </c>
      <c r="J19" s="12">
        <f>11.37*30/30</f>
        <v>11.37</v>
      </c>
    </row>
    <row r="20" spans="1:10" ht="15.75" x14ac:dyDescent="0.25">
      <c r="A20" s="9"/>
      <c r="B20" s="16" t="s">
        <v>16</v>
      </c>
      <c r="C20" s="72" t="s">
        <v>21</v>
      </c>
      <c r="D20" s="73" t="s">
        <v>22</v>
      </c>
      <c r="E20" s="60" t="s">
        <v>47</v>
      </c>
      <c r="F20" s="91">
        <f>50.71*0.03</f>
        <v>1.5212999999999999</v>
      </c>
      <c r="G20" s="13">
        <f>60*30/30</f>
        <v>60</v>
      </c>
      <c r="H20" s="13">
        <f>1.47*30/30</f>
        <v>1.47</v>
      </c>
      <c r="I20" s="13">
        <f>0.3*30/30</f>
        <v>0.3</v>
      </c>
      <c r="J20" s="14">
        <f>13.44*30/30</f>
        <v>13.44</v>
      </c>
    </row>
    <row r="21" spans="1:10" ht="16.5" thickBot="1" x14ac:dyDescent="0.3">
      <c r="A21" s="50"/>
      <c r="B21" s="51"/>
      <c r="C21" s="52"/>
      <c r="D21" s="52"/>
      <c r="E21" s="63"/>
      <c r="F21" s="92">
        <v>87.79</v>
      </c>
      <c r="G21" s="53">
        <f>SUM(G15:G20)</f>
        <v>671.49</v>
      </c>
      <c r="H21" s="53">
        <f>SUM(H15:H20)</f>
        <v>22.490000000000002</v>
      </c>
      <c r="I21" s="53">
        <f>SUM(I15:I20)</f>
        <v>16.400000000000002</v>
      </c>
      <c r="J21" s="54">
        <f>SUM(J15:J20)</f>
        <v>88.38</v>
      </c>
    </row>
    <row r="22" spans="1:10" ht="16.5" thickBot="1" x14ac:dyDescent="0.3">
      <c r="B22" s="1" t="s">
        <v>29</v>
      </c>
      <c r="E22" s="61"/>
      <c r="F22" s="61"/>
    </row>
    <row r="23" spans="1:10" ht="30.75" thickBot="1" x14ac:dyDescent="0.3">
      <c r="A23" s="2" t="s">
        <v>1</v>
      </c>
      <c r="B23" s="3" t="s">
        <v>2</v>
      </c>
      <c r="C23" s="3" t="s">
        <v>19</v>
      </c>
      <c r="D23" s="3" t="s">
        <v>3</v>
      </c>
      <c r="E23" s="62" t="s">
        <v>20</v>
      </c>
      <c r="F23" s="62" t="s">
        <v>4</v>
      </c>
      <c r="G23" s="20" t="s">
        <v>5</v>
      </c>
      <c r="H23" s="3" t="s">
        <v>6</v>
      </c>
      <c r="I23" s="3" t="s">
        <v>7</v>
      </c>
      <c r="J23" s="4" t="s">
        <v>8</v>
      </c>
    </row>
    <row r="24" spans="1:10" ht="30" x14ac:dyDescent="0.25">
      <c r="A24" s="5" t="s">
        <v>9</v>
      </c>
      <c r="B24" s="39" t="s">
        <v>10</v>
      </c>
      <c r="C24" s="64">
        <v>9</v>
      </c>
      <c r="D24" s="65" t="s">
        <v>34</v>
      </c>
      <c r="E24" s="99" t="s">
        <v>35</v>
      </c>
      <c r="F24" s="100">
        <v>16.02</v>
      </c>
      <c r="G24" s="7">
        <v>216.92</v>
      </c>
      <c r="H24" s="7">
        <v>6.35</v>
      </c>
      <c r="I24" s="7">
        <v>7.11</v>
      </c>
      <c r="J24" s="8">
        <v>32.29</v>
      </c>
    </row>
    <row r="25" spans="1:10" ht="15.75" x14ac:dyDescent="0.25">
      <c r="A25" s="9"/>
      <c r="B25" s="41" t="s">
        <v>11</v>
      </c>
      <c r="C25" s="66">
        <v>36</v>
      </c>
      <c r="D25" s="67" t="s">
        <v>43</v>
      </c>
      <c r="E25" s="57">
        <v>200</v>
      </c>
      <c r="F25" s="85">
        <v>14.41</v>
      </c>
      <c r="G25" s="11">
        <v>117</v>
      </c>
      <c r="H25" s="11">
        <v>4.45</v>
      </c>
      <c r="I25" s="11">
        <v>3.6</v>
      </c>
      <c r="J25" s="12">
        <v>16.149999999999999</v>
      </c>
    </row>
    <row r="26" spans="1:10" ht="15.75" x14ac:dyDescent="0.25">
      <c r="A26" s="9"/>
      <c r="B26" s="42" t="s">
        <v>17</v>
      </c>
      <c r="C26" s="66" t="s">
        <v>21</v>
      </c>
      <c r="D26" s="67" t="s">
        <v>36</v>
      </c>
      <c r="E26" s="57">
        <v>33</v>
      </c>
      <c r="F26" s="85">
        <f>96.75*0.033</f>
        <v>3.1927500000000002</v>
      </c>
      <c r="G26" s="11">
        <f>62.4*33/30</f>
        <v>68.64</v>
      </c>
      <c r="H26" s="11">
        <f>2.4*33/30</f>
        <v>2.64</v>
      </c>
      <c r="I26" s="11">
        <f>0.05*33/30</f>
        <v>5.5000000000000007E-2</v>
      </c>
      <c r="J26" s="12">
        <f>12.03*33/30</f>
        <v>13.232999999999999</v>
      </c>
    </row>
    <row r="27" spans="1:10" ht="15.75" x14ac:dyDescent="0.25">
      <c r="A27" s="9"/>
      <c r="B27" s="16" t="s">
        <v>16</v>
      </c>
      <c r="C27" s="72" t="s">
        <v>21</v>
      </c>
      <c r="D27" s="73" t="s">
        <v>22</v>
      </c>
      <c r="E27" s="60" t="s">
        <v>61</v>
      </c>
      <c r="F27" s="91">
        <v>1.61</v>
      </c>
      <c r="G27" s="13">
        <f>60*32/30</f>
        <v>64</v>
      </c>
      <c r="H27" s="13">
        <f>1.47*32/30</f>
        <v>1.5680000000000001</v>
      </c>
      <c r="I27" s="13" t="s">
        <v>62</v>
      </c>
      <c r="J27" s="14">
        <f>13.44*32/30</f>
        <v>14.336</v>
      </c>
    </row>
    <row r="28" spans="1:10" ht="30" x14ac:dyDescent="0.25">
      <c r="A28" s="9"/>
      <c r="B28" s="94" t="s">
        <v>23</v>
      </c>
      <c r="C28" s="66">
        <v>3</v>
      </c>
      <c r="D28" s="67" t="s">
        <v>37</v>
      </c>
      <c r="E28" s="57">
        <v>10</v>
      </c>
      <c r="F28" s="85">
        <v>9.82</v>
      </c>
      <c r="G28" s="11">
        <v>64.7</v>
      </c>
      <c r="H28" s="11">
        <v>0.08</v>
      </c>
      <c r="I28" s="11">
        <v>7.15</v>
      </c>
      <c r="J28" s="12">
        <v>0.12</v>
      </c>
    </row>
    <row r="29" spans="1:10" ht="15.75" x14ac:dyDescent="0.25">
      <c r="A29" s="9"/>
      <c r="B29" s="94" t="s">
        <v>23</v>
      </c>
      <c r="C29" s="93">
        <v>6</v>
      </c>
      <c r="D29" s="67" t="s">
        <v>38</v>
      </c>
      <c r="E29" s="57">
        <v>17</v>
      </c>
      <c r="F29" s="85">
        <f>12.33*17/15</f>
        <v>13.974</v>
      </c>
      <c r="G29" s="15">
        <f>45*17/15</f>
        <v>51</v>
      </c>
      <c r="H29" s="15">
        <f>3.07*17/15</f>
        <v>3.4793333333333334</v>
      </c>
      <c r="I29" s="15">
        <f>3.45*17/15</f>
        <v>3.9100000000000006</v>
      </c>
      <c r="J29" s="49">
        <f>0.38*17/15</f>
        <v>0.43066666666666664</v>
      </c>
    </row>
    <row r="30" spans="1:10" ht="15.75" x14ac:dyDescent="0.25">
      <c r="A30" s="9"/>
      <c r="B30" s="94" t="s">
        <v>23</v>
      </c>
      <c r="C30" s="93" t="s">
        <v>21</v>
      </c>
      <c r="D30" s="67" t="s">
        <v>55</v>
      </c>
      <c r="E30" s="57">
        <v>40</v>
      </c>
      <c r="F30" s="85">
        <f>225.6*0.04</f>
        <v>9.0239999999999991</v>
      </c>
      <c r="G30" s="11">
        <f>127.12</f>
        <v>127.12</v>
      </c>
      <c r="H30" s="11">
        <f>2.14</f>
        <v>2.14</v>
      </c>
      <c r="I30" s="11">
        <f>2.8</f>
        <v>2.8</v>
      </c>
      <c r="J30" s="12">
        <f>23.34</f>
        <v>23.34</v>
      </c>
    </row>
    <row r="31" spans="1:10" ht="16.5" thickBot="1" x14ac:dyDescent="0.3">
      <c r="A31" s="78"/>
      <c r="B31" s="79"/>
      <c r="C31" s="80"/>
      <c r="D31" s="81"/>
      <c r="E31" s="82"/>
      <c r="F31" s="89">
        <f>SUM(F24:F30)</f>
        <v>68.050749999999994</v>
      </c>
      <c r="G31" s="83">
        <f>SUM(G24:G30)</f>
        <v>709.38</v>
      </c>
      <c r="H31" s="83">
        <f>SUM(H24:H30)</f>
        <v>20.707333333333334</v>
      </c>
      <c r="I31" s="83">
        <f>SUM(I24:I30)</f>
        <v>24.625</v>
      </c>
      <c r="J31" s="101">
        <f>SUM(J24:J30)</f>
        <v>99.899666666666675</v>
      </c>
    </row>
    <row r="32" spans="1:10" ht="15.75" x14ac:dyDescent="0.25">
      <c r="A32" s="5" t="s">
        <v>24</v>
      </c>
      <c r="B32" s="41" t="s">
        <v>11</v>
      </c>
      <c r="C32" s="68">
        <v>30</v>
      </c>
      <c r="D32" s="69" t="s">
        <v>39</v>
      </c>
      <c r="E32" s="58">
        <v>200</v>
      </c>
      <c r="F32" s="88">
        <v>3.26</v>
      </c>
      <c r="G32" s="7">
        <v>43</v>
      </c>
      <c r="H32" s="7">
        <v>0.06</v>
      </c>
      <c r="I32" s="7">
        <v>0.01</v>
      </c>
      <c r="J32" s="8">
        <v>10.220000000000001</v>
      </c>
    </row>
    <row r="33" spans="1:10" ht="30" customHeight="1" x14ac:dyDescent="0.25">
      <c r="A33" s="9"/>
      <c r="B33" s="94" t="s">
        <v>23</v>
      </c>
      <c r="C33" s="70">
        <v>31</v>
      </c>
      <c r="D33" s="71" t="s">
        <v>42</v>
      </c>
      <c r="E33" s="59" t="s">
        <v>56</v>
      </c>
      <c r="F33" s="85">
        <f>50.18*130/130+5.73*20/20</f>
        <v>55.91</v>
      </c>
      <c r="G33" s="11">
        <f>400.13</f>
        <v>400.13</v>
      </c>
      <c r="H33" s="11">
        <v>22.24</v>
      </c>
      <c r="I33" s="11">
        <v>17.73</v>
      </c>
      <c r="J33" s="12">
        <v>137.9</v>
      </c>
    </row>
    <row r="34" spans="1:10" ht="16.5" thickBot="1" x14ac:dyDescent="0.3">
      <c r="A34" s="74"/>
      <c r="B34" s="51"/>
      <c r="C34" s="75"/>
      <c r="D34" s="76"/>
      <c r="E34" s="77"/>
      <c r="F34" s="90">
        <v>51.02</v>
      </c>
      <c r="G34" s="86">
        <f>SUM(G32:G33)</f>
        <v>443.13</v>
      </c>
      <c r="H34" s="86">
        <f t="shared" ref="H34:J34" si="1">SUM(H32:H33)</f>
        <v>22.299999999999997</v>
      </c>
      <c r="I34" s="86">
        <f t="shared" si="1"/>
        <v>17.740000000000002</v>
      </c>
      <c r="J34" s="87">
        <f t="shared" si="1"/>
        <v>148.12</v>
      </c>
    </row>
    <row r="35" spans="1:10" ht="15.75" x14ac:dyDescent="0.25">
      <c r="A35" s="5" t="s">
        <v>12</v>
      </c>
      <c r="B35" s="6" t="s">
        <v>13</v>
      </c>
      <c r="C35" s="68">
        <v>4</v>
      </c>
      <c r="D35" s="69" t="s">
        <v>33</v>
      </c>
      <c r="E35" s="56" t="s">
        <v>63</v>
      </c>
      <c r="F35" s="88">
        <f>46.71*60/100</f>
        <v>28.026</v>
      </c>
      <c r="G35" s="7">
        <v>14</v>
      </c>
      <c r="H35" s="7">
        <v>0.8</v>
      </c>
      <c r="I35" s="7">
        <v>0.1</v>
      </c>
      <c r="J35" s="8">
        <v>2.5</v>
      </c>
    </row>
    <row r="36" spans="1:10" ht="45" x14ac:dyDescent="0.25">
      <c r="A36" s="9"/>
      <c r="B36" s="10" t="s">
        <v>14</v>
      </c>
      <c r="C36" s="70">
        <v>49</v>
      </c>
      <c r="D36" s="71" t="s">
        <v>44</v>
      </c>
      <c r="E36" s="59" t="s">
        <v>65</v>
      </c>
      <c r="F36" s="85">
        <f>10.85*230/220+17.61*20/30</f>
        <v>23.083181818181821</v>
      </c>
      <c r="G36" s="11">
        <v>207.54</v>
      </c>
      <c r="H36" s="11">
        <v>8.33</v>
      </c>
      <c r="I36" s="11">
        <v>5.79</v>
      </c>
      <c r="J36" s="12">
        <v>20.440000000000001</v>
      </c>
    </row>
    <row r="37" spans="1:10" ht="30" x14ac:dyDescent="0.25">
      <c r="A37" s="9"/>
      <c r="B37" s="10" t="s">
        <v>15</v>
      </c>
      <c r="C37" s="70">
        <v>48</v>
      </c>
      <c r="D37" s="71" t="s">
        <v>40</v>
      </c>
      <c r="E37" s="59" t="s">
        <v>66</v>
      </c>
      <c r="F37" s="85">
        <f>18.38*45/50+15.44*155/150</f>
        <v>32.496666666666663</v>
      </c>
      <c r="G37" s="11">
        <v>223</v>
      </c>
      <c r="H37" s="11">
        <v>12.28</v>
      </c>
      <c r="I37" s="11">
        <v>13.07</v>
      </c>
      <c r="J37" s="12">
        <v>11.51</v>
      </c>
    </row>
    <row r="38" spans="1:10" ht="15.75" x14ac:dyDescent="0.25">
      <c r="A38" s="9"/>
      <c r="B38" s="10" t="s">
        <v>25</v>
      </c>
      <c r="C38" s="70">
        <v>25</v>
      </c>
      <c r="D38" s="71" t="s">
        <v>41</v>
      </c>
      <c r="E38" s="59">
        <v>200</v>
      </c>
      <c r="F38" s="85">
        <v>13.4</v>
      </c>
      <c r="G38" s="11">
        <v>136</v>
      </c>
      <c r="H38" s="11">
        <v>0.6</v>
      </c>
      <c r="I38" s="11">
        <v>0</v>
      </c>
      <c r="J38" s="12">
        <v>33</v>
      </c>
    </row>
    <row r="39" spans="1:10" ht="15.75" x14ac:dyDescent="0.25">
      <c r="A39" s="9"/>
      <c r="B39" s="10" t="s">
        <v>18</v>
      </c>
      <c r="C39" s="70" t="s">
        <v>21</v>
      </c>
      <c r="D39" s="71" t="s">
        <v>26</v>
      </c>
      <c r="E39" s="59" t="s">
        <v>64</v>
      </c>
      <c r="F39" s="85">
        <v>3.03</v>
      </c>
      <c r="G39" s="11">
        <f>83.2*41/40</f>
        <v>85.28</v>
      </c>
      <c r="H39" s="11">
        <f>3.2*41/40</f>
        <v>3.2800000000000002</v>
      </c>
      <c r="I39" s="11">
        <f>0.06*41/40</f>
        <v>6.1499999999999999E-2</v>
      </c>
      <c r="J39" s="12">
        <f>16.04*41/40</f>
        <v>16.440999999999999</v>
      </c>
    </row>
    <row r="40" spans="1:10" ht="15.75" x14ac:dyDescent="0.25">
      <c r="A40" s="9"/>
      <c r="B40" s="16" t="s">
        <v>16</v>
      </c>
      <c r="C40" s="72" t="s">
        <v>21</v>
      </c>
      <c r="D40" s="73" t="s">
        <v>22</v>
      </c>
      <c r="E40" s="60" t="s">
        <v>57</v>
      </c>
      <c r="F40" s="91">
        <f>50.71*0.04</f>
        <v>2.0284</v>
      </c>
      <c r="G40" s="13">
        <f>60*40/30</f>
        <v>80</v>
      </c>
      <c r="H40" s="13">
        <f>1.47*40/30</f>
        <v>1.96</v>
      </c>
      <c r="I40" s="13">
        <f>0.3*40/30</f>
        <v>0.4</v>
      </c>
      <c r="J40" s="14">
        <f>13.44*40/30</f>
        <v>17.920000000000002</v>
      </c>
    </row>
    <row r="41" spans="1:10" ht="16.5" thickBot="1" x14ac:dyDescent="0.3">
      <c r="A41" s="50"/>
      <c r="B41" s="51"/>
      <c r="C41" s="52"/>
      <c r="D41" s="52"/>
      <c r="E41" s="63"/>
      <c r="F41" s="92">
        <f>SUM(F35:F40)</f>
        <v>102.06424848484849</v>
      </c>
      <c r="G41" s="53">
        <f>SUM(G35:G40)</f>
        <v>745.81999999999994</v>
      </c>
      <c r="H41" s="53">
        <f>SUM(H35:H40)</f>
        <v>27.250000000000004</v>
      </c>
      <c r="I41" s="53">
        <f>SUM(I35:I40)</f>
        <v>19.421499999999998</v>
      </c>
      <c r="J41" s="54">
        <f>SUM(J35:J40)</f>
        <v>101.81100000000001</v>
      </c>
    </row>
    <row r="42" spans="1:10" s="27" customFormat="1" x14ac:dyDescent="0.25">
      <c r="A42" s="26" t="s">
        <v>30</v>
      </c>
      <c r="B42"/>
      <c r="C42"/>
      <c r="D42"/>
      <c r="E42" s="28"/>
      <c r="F42" s="28"/>
    </row>
    <row r="43" spans="1:10" x14ac:dyDescent="0.25">
      <c r="A43" s="26" t="s">
        <v>31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1 J31 F8 G30 G10:G11 F10 G34 F13 G33 F16" unlockedFormula="1"/>
    <ignoredError sqref="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workbookViewId="0">
      <selection activeCell="I1" sqref="I1:I1048576"/>
    </sheetView>
  </sheetViews>
  <sheetFormatPr defaultColWidth="8.85546875" defaultRowHeight="15" x14ac:dyDescent="0.25"/>
  <cols>
    <col min="1" max="1" width="11.7109375" style="27" bestFit="1" customWidth="1"/>
    <col min="2" max="2" width="10" style="27" customWidth="1"/>
    <col min="3" max="3" width="5.5703125" style="27" customWidth="1"/>
    <col min="4" max="4" width="24.7109375" style="27" customWidth="1"/>
    <col min="5" max="5" width="10.28515625" style="28" customWidth="1"/>
    <col min="6" max="6" width="7.140625" style="28" bestFit="1" customWidth="1"/>
    <col min="7" max="7" width="7.7109375" style="27" customWidth="1"/>
    <col min="8" max="8" width="6.140625" style="27" bestFit="1" customWidth="1"/>
    <col min="9" max="9" width="10.28515625" style="27" customWidth="1"/>
    <col min="10" max="10" width="8.5703125" style="27" customWidth="1"/>
    <col min="11" max="16384" width="8.85546875" style="27"/>
  </cols>
  <sheetData>
    <row r="1" spans="1:10" ht="28.9" customHeight="1" x14ac:dyDescent="0.25">
      <c r="A1" s="27" t="s">
        <v>0</v>
      </c>
      <c r="B1" s="111" t="s">
        <v>69</v>
      </c>
      <c r="C1" s="112"/>
      <c r="D1" s="113"/>
      <c r="E1" s="28" t="s">
        <v>28</v>
      </c>
      <c r="F1" s="29"/>
      <c r="G1" s="114" t="s">
        <v>48</v>
      </c>
      <c r="H1" s="115"/>
      <c r="I1" s="30">
        <v>45044</v>
      </c>
    </row>
    <row r="2" spans="1:10" ht="15.75" thickBot="1" x14ac:dyDescent="0.3">
      <c r="B2" s="31" t="s">
        <v>32</v>
      </c>
    </row>
    <row r="3" spans="1:10" s="37" customFormat="1" ht="30.75" thickBot="1" x14ac:dyDescent="0.3">
      <c r="A3" s="32" t="s">
        <v>1</v>
      </c>
      <c r="B3" s="33" t="s">
        <v>2</v>
      </c>
      <c r="C3" s="33" t="s">
        <v>19</v>
      </c>
      <c r="D3" s="33" t="s">
        <v>3</v>
      </c>
      <c r="E3" s="34" t="s">
        <v>20</v>
      </c>
      <c r="F3" s="34" t="s">
        <v>4</v>
      </c>
      <c r="G3" s="35" t="s">
        <v>5</v>
      </c>
      <c r="H3" s="33" t="s">
        <v>6</v>
      </c>
      <c r="I3" s="33" t="s">
        <v>7</v>
      </c>
      <c r="J3" s="36" t="s">
        <v>8</v>
      </c>
    </row>
    <row r="4" spans="1:10" ht="30" x14ac:dyDescent="0.25">
      <c r="A4" s="5" t="s">
        <v>9</v>
      </c>
      <c r="B4" s="39" t="s">
        <v>10</v>
      </c>
      <c r="C4" s="102">
        <v>9</v>
      </c>
      <c r="D4" s="98" t="s">
        <v>34</v>
      </c>
      <c r="E4" s="99" t="s">
        <v>35</v>
      </c>
      <c r="F4" s="100">
        <v>21.3</v>
      </c>
      <c r="G4" s="7">
        <v>216.92</v>
      </c>
      <c r="H4" s="7">
        <v>6.35</v>
      </c>
      <c r="I4" s="7">
        <v>7.11</v>
      </c>
      <c r="J4" s="8">
        <v>32.29</v>
      </c>
    </row>
    <row r="5" spans="1:10" ht="15.75" x14ac:dyDescent="0.25">
      <c r="A5" s="9"/>
      <c r="B5" s="41" t="s">
        <v>11</v>
      </c>
      <c r="C5" s="66">
        <v>36</v>
      </c>
      <c r="D5" s="67" t="s">
        <v>43</v>
      </c>
      <c r="E5" s="57">
        <v>200</v>
      </c>
      <c r="F5" s="85">
        <v>19.16</v>
      </c>
      <c r="G5" s="11">
        <v>117</v>
      </c>
      <c r="H5" s="11">
        <v>4.45</v>
      </c>
      <c r="I5" s="11">
        <v>3.6</v>
      </c>
      <c r="J5" s="12">
        <v>16.149999999999999</v>
      </c>
    </row>
    <row r="6" spans="1:10" ht="15.75" x14ac:dyDescent="0.25">
      <c r="A6" s="9"/>
      <c r="B6" s="42" t="s">
        <v>18</v>
      </c>
      <c r="C6" s="66" t="s">
        <v>21</v>
      </c>
      <c r="D6" s="67" t="s">
        <v>22</v>
      </c>
      <c r="E6" s="57">
        <v>23</v>
      </c>
      <c r="F6" s="85">
        <v>1.38</v>
      </c>
      <c r="G6" s="13">
        <f>40*23/20</f>
        <v>46</v>
      </c>
      <c r="H6" s="13">
        <f>0.98*23/20</f>
        <v>1.127</v>
      </c>
      <c r="I6" s="13">
        <f>0.2*23/20</f>
        <v>0.23000000000000004</v>
      </c>
      <c r="J6" s="14">
        <f>8.15*23/20</f>
        <v>9.3725000000000005</v>
      </c>
    </row>
    <row r="7" spans="1:10" ht="15.75" x14ac:dyDescent="0.25">
      <c r="A7" s="9"/>
      <c r="B7" s="16" t="s">
        <v>16</v>
      </c>
      <c r="C7" s="66" t="s">
        <v>21</v>
      </c>
      <c r="D7" s="67" t="s">
        <v>36</v>
      </c>
      <c r="E7" s="57">
        <v>23</v>
      </c>
      <c r="F7" s="85">
        <f>116.1*0.023</f>
        <v>2.6702999999999997</v>
      </c>
      <c r="G7" s="11">
        <f>41.6*23/20</f>
        <v>47.84</v>
      </c>
      <c r="H7" s="11">
        <f>1.6*23/20</f>
        <v>1.8400000000000003</v>
      </c>
      <c r="I7" s="11">
        <f>0.03*23/20</f>
        <v>3.4499999999999996E-2</v>
      </c>
      <c r="J7" s="12">
        <f>8.02*23/20</f>
        <v>9.222999999999999</v>
      </c>
    </row>
    <row r="8" spans="1:10" ht="30" x14ac:dyDescent="0.25">
      <c r="A8" s="9"/>
      <c r="B8" s="94" t="s">
        <v>23</v>
      </c>
      <c r="C8" s="66">
        <v>3</v>
      </c>
      <c r="D8" s="67" t="s">
        <v>37</v>
      </c>
      <c r="E8" s="57">
        <v>10</v>
      </c>
      <c r="F8" s="85">
        <f>13.06*10/10</f>
        <v>13.059999999999999</v>
      </c>
      <c r="G8" s="11">
        <v>64.7</v>
      </c>
      <c r="H8" s="11">
        <v>0.08</v>
      </c>
      <c r="I8" s="11">
        <v>7.15</v>
      </c>
      <c r="J8" s="12">
        <v>0.12</v>
      </c>
    </row>
    <row r="9" spans="1:10" ht="15.75" x14ac:dyDescent="0.25">
      <c r="A9" s="9"/>
      <c r="B9" s="94" t="s">
        <v>23</v>
      </c>
      <c r="C9" s="93">
        <v>6</v>
      </c>
      <c r="D9" s="67" t="s">
        <v>38</v>
      </c>
      <c r="E9" s="57">
        <v>13</v>
      </c>
      <c r="F9" s="85">
        <f>13.32*13/12</f>
        <v>14.43</v>
      </c>
      <c r="G9" s="15">
        <f>36*13/12</f>
        <v>39</v>
      </c>
      <c r="H9" s="15">
        <f>1.36*13/12</f>
        <v>1.4733333333333334</v>
      </c>
      <c r="I9" s="15">
        <f>2.76*13/12</f>
        <v>2.9899999999999998</v>
      </c>
      <c r="J9" s="49">
        <f>0.31*23/22</f>
        <v>0.3240909090909091</v>
      </c>
    </row>
    <row r="10" spans="1:10" ht="15.75" x14ac:dyDescent="0.25">
      <c r="A10" s="103"/>
      <c r="B10" s="94" t="s">
        <v>23</v>
      </c>
      <c r="C10" s="93" t="s">
        <v>21</v>
      </c>
      <c r="D10" s="67" t="s">
        <v>55</v>
      </c>
      <c r="E10" s="57">
        <v>20</v>
      </c>
      <c r="F10" s="85">
        <f>225.6*0.02*1.33</f>
        <v>6.0009600000000001</v>
      </c>
      <c r="G10" s="11">
        <f>127.12</f>
        <v>127.12</v>
      </c>
      <c r="H10" s="11">
        <f>2.14</f>
        <v>2.14</v>
      </c>
      <c r="I10" s="11">
        <f>2.8</f>
        <v>2.8</v>
      </c>
      <c r="J10" s="12">
        <f>23.34</f>
        <v>23.34</v>
      </c>
    </row>
    <row r="11" spans="1:10" ht="16.5" thickBot="1" x14ac:dyDescent="0.3">
      <c r="A11" s="9"/>
      <c r="B11" s="79"/>
      <c r="C11" s="80"/>
      <c r="D11" s="81"/>
      <c r="E11" s="82"/>
      <c r="F11" s="89">
        <f>SUM(F4:F10)</f>
        <v>78.001260000000016</v>
      </c>
      <c r="G11" s="83">
        <f>SUM(G4:G10)</f>
        <v>658.58</v>
      </c>
      <c r="H11" s="83">
        <f>SUM(H4:H10)</f>
        <v>17.460333333333335</v>
      </c>
      <c r="I11" s="83">
        <f>SUM(I4:I10)</f>
        <v>23.9145</v>
      </c>
      <c r="J11" s="101">
        <f>SUM(J4:J10)</f>
        <v>90.81959090909092</v>
      </c>
    </row>
    <row r="12" spans="1:10" ht="15.75" x14ac:dyDescent="0.25">
      <c r="A12" s="38"/>
      <c r="B12" s="105" t="s">
        <v>23</v>
      </c>
      <c r="C12" s="66">
        <v>4</v>
      </c>
      <c r="D12" s="67" t="s">
        <v>33</v>
      </c>
      <c r="E12" s="57">
        <v>45</v>
      </c>
      <c r="F12" s="85">
        <f>37.27*45/60</f>
        <v>27.952500000000001</v>
      </c>
      <c r="G12" s="11">
        <v>14.14</v>
      </c>
      <c r="H12" s="11">
        <v>0.66</v>
      </c>
      <c r="I12" s="11">
        <v>0.12</v>
      </c>
      <c r="J12" s="12">
        <v>2.2799999999999998</v>
      </c>
    </row>
    <row r="13" spans="1:10" ht="15.75" x14ac:dyDescent="0.25">
      <c r="A13" s="40"/>
      <c r="B13" s="10" t="s">
        <v>49</v>
      </c>
      <c r="C13" s="70">
        <v>7</v>
      </c>
      <c r="D13" s="71" t="s">
        <v>50</v>
      </c>
      <c r="E13" s="59" t="s">
        <v>67</v>
      </c>
      <c r="F13" s="85">
        <f>27.6*150/180</f>
        <v>23</v>
      </c>
      <c r="G13" s="11">
        <f>159.12*180/180</f>
        <v>159.12</v>
      </c>
      <c r="H13" s="11">
        <f>3.74*180/180</f>
        <v>3.74</v>
      </c>
      <c r="I13" s="11">
        <f>6.12*180/180</f>
        <v>6.1199999999999992</v>
      </c>
      <c r="J13" s="12">
        <f>22.28*180/180</f>
        <v>22.28</v>
      </c>
    </row>
    <row r="14" spans="1:10" ht="30" x14ac:dyDescent="0.25">
      <c r="A14" s="40"/>
      <c r="B14" s="10" t="s">
        <v>15</v>
      </c>
      <c r="C14" s="70">
        <v>14</v>
      </c>
      <c r="D14" s="71" t="s">
        <v>52</v>
      </c>
      <c r="E14" s="59" t="s">
        <v>54</v>
      </c>
      <c r="F14" s="85">
        <f>38.25*90/100</f>
        <v>34.424999999999997</v>
      </c>
      <c r="G14" s="11">
        <v>238</v>
      </c>
      <c r="H14" s="11">
        <v>15.13</v>
      </c>
      <c r="I14" s="11">
        <v>14.09</v>
      </c>
      <c r="J14" s="12">
        <v>8.4499999999999993</v>
      </c>
    </row>
    <row r="15" spans="1:10" ht="16.899999999999999" customHeight="1" x14ac:dyDescent="0.25">
      <c r="A15" s="40"/>
      <c r="B15" s="16" t="s">
        <v>23</v>
      </c>
      <c r="C15" s="72">
        <v>15</v>
      </c>
      <c r="D15" s="73" t="s">
        <v>53</v>
      </c>
      <c r="E15" s="60" t="s">
        <v>58</v>
      </c>
      <c r="F15" s="91">
        <f>3.99*25/20</f>
        <v>4.9874999999999998</v>
      </c>
      <c r="G15" s="13">
        <f>21.25*25/20</f>
        <v>26.5625</v>
      </c>
      <c r="H15" s="13">
        <v>0.45</v>
      </c>
      <c r="I15" s="13">
        <v>1.31</v>
      </c>
      <c r="J15" s="14">
        <v>1.92</v>
      </c>
    </row>
    <row r="16" spans="1:10" ht="25.15" customHeight="1" x14ac:dyDescent="0.25">
      <c r="A16" s="40"/>
      <c r="B16" s="10" t="s">
        <v>25</v>
      </c>
      <c r="C16" s="70">
        <v>17</v>
      </c>
      <c r="D16" s="71" t="s">
        <v>51</v>
      </c>
      <c r="E16" s="59">
        <v>200</v>
      </c>
      <c r="F16" s="85">
        <v>5.57</v>
      </c>
      <c r="G16" s="11">
        <v>87</v>
      </c>
      <c r="H16" s="11">
        <v>1.04</v>
      </c>
      <c r="I16" s="11">
        <v>0</v>
      </c>
      <c r="J16" s="12">
        <v>20.98</v>
      </c>
    </row>
    <row r="17" spans="1:10" ht="16.899999999999999" customHeight="1" x14ac:dyDescent="0.25">
      <c r="A17" s="40"/>
      <c r="B17" s="10" t="s">
        <v>18</v>
      </c>
      <c r="C17" s="70" t="s">
        <v>21</v>
      </c>
      <c r="D17" s="71" t="s">
        <v>26</v>
      </c>
      <c r="E17" s="59" t="s">
        <v>68</v>
      </c>
      <c r="F17" s="85">
        <f>89.76*0.027</f>
        <v>2.4235199999999999</v>
      </c>
      <c r="G17" s="11">
        <f>41.6*27/20</f>
        <v>56.160000000000004</v>
      </c>
      <c r="H17" s="11">
        <f>1.6*27/20</f>
        <v>2.16</v>
      </c>
      <c r="I17" s="11">
        <f>0.03*27/20</f>
        <v>4.0499999999999994E-2</v>
      </c>
      <c r="J17" s="12">
        <f>8.02*27/20</f>
        <v>10.827</v>
      </c>
    </row>
    <row r="18" spans="1:10" ht="16.899999999999999" customHeight="1" x14ac:dyDescent="0.25">
      <c r="A18" s="40"/>
      <c r="B18" s="16" t="s">
        <v>16</v>
      </c>
      <c r="C18" s="72" t="s">
        <v>21</v>
      </c>
      <c r="D18" s="73" t="s">
        <v>22</v>
      </c>
      <c r="E18" s="60" t="s">
        <v>68</v>
      </c>
      <c r="F18" s="91">
        <f>60.86*0.027</f>
        <v>1.6432199999999999</v>
      </c>
      <c r="G18" s="13">
        <f>40*27/20</f>
        <v>54</v>
      </c>
      <c r="H18" s="13">
        <f>0.98*27/20</f>
        <v>1.323</v>
      </c>
      <c r="I18" s="13">
        <f>0.2*27/20</f>
        <v>0.27</v>
      </c>
      <c r="J18" s="14">
        <f>8.95*27/20</f>
        <v>12.0825</v>
      </c>
    </row>
    <row r="19" spans="1:10" ht="16.5" thickBot="1" x14ac:dyDescent="0.3">
      <c r="A19" s="40"/>
      <c r="B19" s="44"/>
      <c r="C19" s="45"/>
      <c r="D19" s="45"/>
      <c r="E19" s="84"/>
      <c r="F19" s="95">
        <f>SUM(F12:F18)</f>
        <v>100.00174</v>
      </c>
      <c r="G19" s="47">
        <f>SUM(G12:G18)</f>
        <v>634.98249999999996</v>
      </c>
      <c r="H19" s="47">
        <f>SUM(H12:H15)</f>
        <v>19.98</v>
      </c>
      <c r="I19" s="47">
        <f>SUM(I12:I15)</f>
        <v>21.639999999999997</v>
      </c>
      <c r="J19" s="48">
        <f>SUM(J12:J15)</f>
        <v>34.930000000000007</v>
      </c>
    </row>
    <row r="20" spans="1:10" ht="15.75" x14ac:dyDescent="0.25">
      <c r="A20" s="40"/>
      <c r="B20" s="105" t="s">
        <v>23</v>
      </c>
      <c r="C20" s="66">
        <v>4</v>
      </c>
      <c r="D20" s="67" t="s">
        <v>33</v>
      </c>
      <c r="E20" s="57">
        <v>40</v>
      </c>
      <c r="F20" s="85">
        <f>37.27*40/60</f>
        <v>24.846666666666671</v>
      </c>
      <c r="G20" s="11">
        <v>14.14</v>
      </c>
      <c r="H20" s="11">
        <v>0.66</v>
      </c>
      <c r="I20" s="11">
        <v>0.12</v>
      </c>
      <c r="J20" s="12">
        <v>2.2799999999999998</v>
      </c>
    </row>
    <row r="21" spans="1:10" ht="45" x14ac:dyDescent="0.25">
      <c r="A21" s="40"/>
      <c r="B21" s="41" t="s">
        <v>14</v>
      </c>
      <c r="C21" s="70">
        <v>49</v>
      </c>
      <c r="D21" s="71" t="s">
        <v>44</v>
      </c>
      <c r="E21" s="59" t="s">
        <v>65</v>
      </c>
      <c r="F21" s="85">
        <f>14.44*230/250+23.42*20/30</f>
        <v>28.898133333333334</v>
      </c>
      <c r="G21" s="11">
        <v>207.54</v>
      </c>
      <c r="H21" s="11">
        <v>8.33</v>
      </c>
      <c r="I21" s="11">
        <v>5.79</v>
      </c>
      <c r="J21" s="12">
        <v>20.440000000000001</v>
      </c>
    </row>
    <row r="22" spans="1:10" ht="15.75" x14ac:dyDescent="0.25">
      <c r="A22" s="40"/>
      <c r="B22" s="10" t="s">
        <v>49</v>
      </c>
      <c r="C22" s="70">
        <v>7</v>
      </c>
      <c r="D22" s="71" t="s">
        <v>50</v>
      </c>
      <c r="E22" s="59" t="s">
        <v>67</v>
      </c>
      <c r="F22" s="85">
        <f>27.6*150/180</f>
        <v>23</v>
      </c>
      <c r="G22" s="11">
        <f>159.12*180/180</f>
        <v>159.12</v>
      </c>
      <c r="H22" s="11">
        <f>3.74*180/180</f>
        <v>3.74</v>
      </c>
      <c r="I22" s="11">
        <f>6.12*180/180</f>
        <v>6.1199999999999992</v>
      </c>
      <c r="J22" s="12">
        <f>22.28*180/180</f>
        <v>22.28</v>
      </c>
    </row>
    <row r="23" spans="1:10" ht="30" x14ac:dyDescent="0.25">
      <c r="A23" s="40"/>
      <c r="B23" s="10" t="s">
        <v>15</v>
      </c>
      <c r="C23" s="70">
        <v>14</v>
      </c>
      <c r="D23" s="71" t="s">
        <v>52</v>
      </c>
      <c r="E23" s="59" t="s">
        <v>54</v>
      </c>
      <c r="F23" s="85">
        <f>38.25*90/100</f>
        <v>34.424999999999997</v>
      </c>
      <c r="G23" s="11">
        <v>238</v>
      </c>
      <c r="H23" s="11">
        <v>15.13</v>
      </c>
      <c r="I23" s="11">
        <v>14.09</v>
      </c>
      <c r="J23" s="12">
        <v>8.4499999999999993</v>
      </c>
    </row>
    <row r="24" spans="1:10" ht="14.45" customHeight="1" x14ac:dyDescent="0.25">
      <c r="A24" s="40"/>
      <c r="B24" s="16" t="s">
        <v>23</v>
      </c>
      <c r="C24" s="72">
        <v>15</v>
      </c>
      <c r="D24" s="73" t="s">
        <v>53</v>
      </c>
      <c r="E24" s="60" t="s">
        <v>58</v>
      </c>
      <c r="F24" s="91">
        <f>3.99*25/20</f>
        <v>4.9874999999999998</v>
      </c>
      <c r="G24" s="13">
        <f>21.25*25/20</f>
        <v>26.5625</v>
      </c>
      <c r="H24" s="13">
        <v>0.45</v>
      </c>
      <c r="I24" s="13">
        <v>1.31</v>
      </c>
      <c r="J24" s="14">
        <v>1.92</v>
      </c>
    </row>
    <row r="25" spans="1:10" ht="30" x14ac:dyDescent="0.25">
      <c r="A25" s="40"/>
      <c r="B25" s="10" t="s">
        <v>25</v>
      </c>
      <c r="C25" s="70">
        <v>17</v>
      </c>
      <c r="D25" s="71" t="s">
        <v>51</v>
      </c>
      <c r="E25" s="59">
        <v>200</v>
      </c>
      <c r="F25" s="85">
        <v>5.57</v>
      </c>
      <c r="G25" s="11">
        <v>87</v>
      </c>
      <c r="H25" s="11">
        <v>1.04</v>
      </c>
      <c r="I25" s="11">
        <v>0</v>
      </c>
      <c r="J25" s="12">
        <v>20.98</v>
      </c>
    </row>
    <row r="26" spans="1:10" ht="15.75" x14ac:dyDescent="0.25">
      <c r="A26" s="40"/>
      <c r="B26" s="41" t="s">
        <v>18</v>
      </c>
      <c r="C26" s="66" t="s">
        <v>21</v>
      </c>
      <c r="D26" s="67" t="s">
        <v>26</v>
      </c>
      <c r="E26" s="59" t="s">
        <v>59</v>
      </c>
      <c r="F26" s="85">
        <f>89.76*0.022</f>
        <v>1.97472</v>
      </c>
      <c r="G26" s="11">
        <f>41.6*22/20</f>
        <v>45.760000000000005</v>
      </c>
      <c r="H26" s="11">
        <f>1.6*22/20</f>
        <v>1.7600000000000002</v>
      </c>
      <c r="I26" s="11">
        <f>0.03*22/20</f>
        <v>3.2999999999999995E-2</v>
      </c>
      <c r="J26" s="12">
        <f>8.02*22/20</f>
        <v>8.8219999999999992</v>
      </c>
    </row>
    <row r="27" spans="1:10" ht="15.75" x14ac:dyDescent="0.25">
      <c r="A27" s="40"/>
      <c r="B27" s="42" t="s">
        <v>16</v>
      </c>
      <c r="C27" s="96" t="s">
        <v>21</v>
      </c>
      <c r="D27" s="97" t="s">
        <v>22</v>
      </c>
      <c r="E27" s="60" t="s">
        <v>59</v>
      </c>
      <c r="F27" s="91">
        <v>1.3</v>
      </c>
      <c r="G27" s="13">
        <f>40*22/20</f>
        <v>44</v>
      </c>
      <c r="H27" s="13">
        <f>0.98*22/20</f>
        <v>1.0779999999999998</v>
      </c>
      <c r="I27" s="13">
        <f>0.2*22/20</f>
        <v>0.22000000000000003</v>
      </c>
      <c r="J27" s="14">
        <f>8.95*22/20</f>
        <v>9.8449999999999989</v>
      </c>
    </row>
    <row r="28" spans="1:10" ht="16.5" thickBot="1" x14ac:dyDescent="0.3">
      <c r="A28" s="43"/>
      <c r="B28" s="44"/>
      <c r="C28" s="45"/>
      <c r="D28" s="45"/>
      <c r="E28" s="46"/>
      <c r="F28" s="104">
        <f>SUM(F20:F27)</f>
        <v>125.00201999999999</v>
      </c>
      <c r="G28" s="47">
        <f>SUM(G20:G27)</f>
        <v>822.12249999999995</v>
      </c>
      <c r="H28" s="47">
        <f>SUM(H21:H27)</f>
        <v>31.528000000000002</v>
      </c>
      <c r="I28" s="47">
        <f>SUM(I21:I27)</f>
        <v>27.562999999999999</v>
      </c>
      <c r="J28" s="48">
        <f>SUM(J21:J27)</f>
        <v>92.737000000000009</v>
      </c>
    </row>
    <row r="29" spans="1:10" customFormat="1" x14ac:dyDescent="0.25">
      <c r="E29" s="19"/>
      <c r="F29" s="19"/>
    </row>
    <row r="30" spans="1:10" customFormat="1" x14ac:dyDescent="0.25">
      <c r="A30" s="26" t="s">
        <v>30</v>
      </c>
      <c r="E30" s="19"/>
      <c r="F30" s="19"/>
    </row>
    <row r="31" spans="1:10" customFormat="1" x14ac:dyDescent="0.25">
      <c r="E31" s="19"/>
      <c r="F31" s="19"/>
    </row>
    <row r="32" spans="1:10" customFormat="1" x14ac:dyDescent="0.25">
      <c r="A32" s="26" t="s">
        <v>31</v>
      </c>
      <c r="E32" s="19"/>
      <c r="F32" s="19"/>
    </row>
    <row r="33" spans="5:6" customFormat="1" x14ac:dyDescent="0.25">
      <c r="E33" s="19"/>
      <c r="F33" s="19"/>
    </row>
  </sheetData>
  <mergeCells count="2">
    <mergeCell ref="B1:D1"/>
    <mergeCell ref="G1:H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2022-09-06T06:34:46Z</cp:lastPrinted>
  <dcterms:created xsi:type="dcterms:W3CDTF">2015-06-05T18:19:34Z</dcterms:created>
  <dcterms:modified xsi:type="dcterms:W3CDTF">2023-04-27T05:39:24Z</dcterms:modified>
</cp:coreProperties>
</file>