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C:\Users\maria\Downloads\"/>
    </mc:Choice>
  </mc:AlternateContent>
  <xr:revisionPtr revIDLastSave="0" documentId="8_{4E42DAAB-93EC-44B3-BD2E-CF1BE4CF25E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бесплатно" sheetId="1" r:id="rId1"/>
    <sheet name="платно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0" i="1" l="1"/>
  <c r="F30" i="1"/>
  <c r="F9" i="1"/>
  <c r="F32" i="1"/>
  <c r="J23" i="2"/>
  <c r="I23" i="2"/>
  <c r="H23" i="2"/>
  <c r="G23" i="2"/>
  <c r="J22" i="2"/>
  <c r="I22" i="2"/>
  <c r="H22" i="2"/>
  <c r="G22" i="2"/>
  <c r="F22" i="2"/>
  <c r="F17" i="2"/>
  <c r="F18" i="2"/>
  <c r="F19" i="2"/>
  <c r="J15" i="2"/>
  <c r="I15" i="2"/>
  <c r="H15" i="2"/>
  <c r="G15" i="2"/>
  <c r="J14" i="2"/>
  <c r="I14" i="2"/>
  <c r="H14" i="2"/>
  <c r="G14" i="2"/>
  <c r="F14" i="2"/>
  <c r="F11" i="2"/>
  <c r="J8" i="2"/>
  <c r="J7" i="2"/>
  <c r="I8" i="2"/>
  <c r="I7" i="2"/>
  <c r="H8" i="2"/>
  <c r="H7" i="2"/>
  <c r="G8" i="2"/>
  <c r="G7" i="2"/>
  <c r="F7" i="2"/>
  <c r="F4" i="2"/>
  <c r="F9" i="2" s="1"/>
  <c r="F35" i="1"/>
  <c r="F33" i="1"/>
  <c r="J27" i="1"/>
  <c r="I27" i="1"/>
  <c r="H27" i="1"/>
  <c r="G27" i="1"/>
  <c r="J26" i="1"/>
  <c r="I26" i="1"/>
  <c r="H26" i="1"/>
  <c r="G26" i="1"/>
  <c r="F27" i="1"/>
  <c r="F26" i="1"/>
  <c r="F23" i="1"/>
  <c r="F19" i="1"/>
  <c r="F18" i="1"/>
  <c r="F16" i="1"/>
  <c r="F14" i="1"/>
  <c r="J8" i="1"/>
  <c r="I8" i="1"/>
  <c r="H8" i="1"/>
  <c r="G8" i="1"/>
  <c r="J7" i="1"/>
  <c r="I7" i="1"/>
  <c r="H7" i="1"/>
  <c r="G7" i="1"/>
  <c r="F8" i="1"/>
  <c r="F7" i="1"/>
  <c r="F4" i="1"/>
  <c r="F21" i="2"/>
  <c r="F13" i="2"/>
  <c r="F6" i="2"/>
  <c r="F25" i="1"/>
  <c r="F6" i="1"/>
  <c r="F24" i="2" l="1"/>
  <c r="J17" i="2" l="1"/>
  <c r="I17" i="2"/>
  <c r="H17" i="2"/>
  <c r="G17" i="2"/>
  <c r="J21" i="2"/>
  <c r="I21" i="2"/>
  <c r="H21" i="2"/>
  <c r="G21" i="2"/>
  <c r="J19" i="2"/>
  <c r="I19" i="2"/>
  <c r="H19" i="2"/>
  <c r="G19" i="2"/>
  <c r="G24" i="2" s="1"/>
  <c r="J11" i="2"/>
  <c r="I11" i="2"/>
  <c r="H11" i="2"/>
  <c r="G11" i="2"/>
  <c r="J10" i="2"/>
  <c r="I10" i="2"/>
  <c r="H10" i="2"/>
  <c r="G10" i="2"/>
  <c r="J4" i="2"/>
  <c r="I4" i="2"/>
  <c r="H4" i="2"/>
  <c r="G4" i="2"/>
  <c r="F10" i="2"/>
  <c r="F16" i="2" s="1"/>
  <c r="J13" i="2"/>
  <c r="I13" i="2"/>
  <c r="H13" i="2"/>
  <c r="G13" i="2"/>
  <c r="J6" i="2"/>
  <c r="I6" i="2"/>
  <c r="H6" i="2"/>
  <c r="G6" i="2"/>
  <c r="G23" i="1"/>
  <c r="H23" i="1"/>
  <c r="J25" i="1"/>
  <c r="I25" i="1"/>
  <c r="H25" i="1"/>
  <c r="G25" i="1"/>
  <c r="J16" i="1"/>
  <c r="I16" i="1"/>
  <c r="H16" i="1"/>
  <c r="G16" i="1"/>
  <c r="J14" i="1"/>
  <c r="I14" i="1"/>
  <c r="H14" i="1"/>
  <c r="G14" i="1"/>
  <c r="F13" i="1"/>
  <c r="J6" i="1"/>
  <c r="I6" i="1"/>
  <c r="H6" i="1"/>
  <c r="G6" i="1"/>
  <c r="J4" i="1"/>
  <c r="I4" i="1"/>
  <c r="H4" i="1"/>
  <c r="G4" i="1"/>
  <c r="G9" i="1" s="1"/>
  <c r="G11" i="1"/>
  <c r="G37" i="1"/>
  <c r="G39" i="1" s="1"/>
  <c r="F37" i="1"/>
  <c r="J19" i="1"/>
  <c r="I19" i="1"/>
  <c r="H19" i="1"/>
  <c r="G19" i="1"/>
  <c r="J18" i="1"/>
  <c r="I18" i="1"/>
  <c r="H18" i="1"/>
  <c r="G18" i="1"/>
  <c r="G9" i="2" l="1"/>
  <c r="G28" i="1"/>
  <c r="F38" i="1"/>
  <c r="J30" i="1"/>
  <c r="I30" i="1"/>
  <c r="H30" i="1"/>
  <c r="G16" i="2" l="1"/>
  <c r="J39" i="1"/>
  <c r="H39" i="1"/>
  <c r="I39" i="1"/>
  <c r="I31" i="1"/>
  <c r="H31" i="1"/>
  <c r="G31" i="1"/>
  <c r="J31" i="1"/>
  <c r="J28" i="1"/>
  <c r="I28" i="1"/>
  <c r="H28" i="1"/>
  <c r="H20" i="1"/>
  <c r="J20" i="1"/>
  <c r="I20" i="1"/>
  <c r="G20" i="1"/>
  <c r="J12" i="1"/>
  <c r="I12" i="1"/>
  <c r="H12" i="1"/>
  <c r="G12" i="1"/>
  <c r="H9" i="1"/>
  <c r="J9" i="1"/>
  <c r="I9" i="1"/>
  <c r="H16" i="2" l="1"/>
  <c r="H9" i="2"/>
  <c r="J24" i="2"/>
  <c r="I9" i="2"/>
  <c r="I16" i="2"/>
  <c r="J9" i="2"/>
  <c r="J16" i="2"/>
  <c r="H24" i="2"/>
  <c r="I24" i="2"/>
</calcChain>
</file>

<file path=xl/sharedStrings.xml><?xml version="1.0" encoding="utf-8"?>
<sst xmlns="http://schemas.openxmlformats.org/spreadsheetml/2006/main" count="180" uniqueCount="66">
  <si>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</si>
  <si>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</si>
  <si>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</si>
  <si>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</si>
  <si>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</si>
  <si>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</si>
  <si>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</si>
  <si>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</si>
  <si>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</si>
  <si>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</si>
  <si>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</si>
  <si>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</si>
  <si>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</si>
  <si>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</si>
  <si>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</si>
  <si>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</si>
  <si>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</si>
  <si>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</si>
  <si>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</si>
  <si>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</si>
  <si>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</si>
  <si>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</si>
  <si>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</si>
  <si>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</si>
  <si>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</si>
  <si>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</si>
  <si>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</si>
  <si>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</si>
  <si>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11-18 лет</t>
  </si>
  <si>
    <t>Бухгалтер калькулятор _______________________________</t>
  </si>
  <si>
    <t>За наличный расчет</t>
  </si>
  <si>
    <t xml:space="preserve"> </t>
  </si>
  <si>
    <t>Зав.производством __________________________________</t>
  </si>
  <si>
    <t>90</t>
  </si>
  <si>
    <t>гарнир</t>
  </si>
  <si>
    <t xml:space="preserve">Хлеб пшеничный </t>
  </si>
  <si>
    <t>Плов из отварной говядины</t>
  </si>
  <si>
    <t>Морская капуста</t>
  </si>
  <si>
    <t>Щи из свежей капусты с картофелем со сметаной</t>
  </si>
  <si>
    <t>Пюре картофельное</t>
  </si>
  <si>
    <t>Напиток из шиповника</t>
  </si>
  <si>
    <t>Котлеты мясная</t>
  </si>
  <si>
    <t xml:space="preserve">1 блюдо </t>
  </si>
  <si>
    <t>добавка</t>
  </si>
  <si>
    <t>Зав.производством ____________________</t>
  </si>
  <si>
    <t>Калькулятор___________________________</t>
  </si>
  <si>
    <t>180</t>
  </si>
  <si>
    <t>100</t>
  </si>
  <si>
    <t>Чай с лимоном</t>
  </si>
  <si>
    <t>Сок</t>
  </si>
  <si>
    <t>Пицца школьная</t>
  </si>
  <si>
    <t>Огурец соленый</t>
  </si>
  <si>
    <t>Щи из свежей капусты с картофелем  и мясом со сметаной</t>
  </si>
  <si>
    <t>40</t>
  </si>
  <si>
    <t>60</t>
  </si>
  <si>
    <t>хлеб чер.</t>
  </si>
  <si>
    <t>35</t>
  </si>
  <si>
    <t>150</t>
  </si>
  <si>
    <t>200/5</t>
  </si>
  <si>
    <t>180/40</t>
  </si>
  <si>
    <t>День 10</t>
  </si>
  <si>
    <t>180/30</t>
  </si>
  <si>
    <t>Вафли</t>
  </si>
  <si>
    <t>30</t>
  </si>
  <si>
    <t>245/5/5</t>
  </si>
  <si>
    <t>МБОУ Элитовская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</si>
</sst>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1" fillId="0" borderId="0" xfId="0" applyFont="1"/>
    <xf numFmtId="14" fontId="0" fillId="0" borderId="0" xfId="0" applyNumberFormat="1" applyProtection="1"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49" fontId="3" fillId="0" borderId="1" xfId="0" applyNumberFormat="1" applyFont="1" applyBorder="1" applyAlignment="1" applyProtection="1">
      <alignment horizontal="center"/>
      <protection locked="0"/>
    </xf>
    <xf numFmtId="14" fontId="3" fillId="0" borderId="0" xfId="0" applyNumberFormat="1" applyFont="1" applyProtection="1"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3" fillId="0" borderId="23" xfId="0" applyFont="1" applyBorder="1"/>
    <xf numFmtId="0" fontId="4" fillId="0" borderId="23" xfId="0" applyFont="1" applyBorder="1"/>
    <xf numFmtId="0" fontId="3" fillId="0" borderId="23" xfId="0" applyFont="1" applyBorder="1" applyAlignment="1">
      <alignment horizontal="center"/>
    </xf>
    <xf numFmtId="0" fontId="5" fillId="0" borderId="0" xfId="0" applyFont="1"/>
    <xf numFmtId="0" fontId="0" fillId="0" borderId="5" xfId="0" applyBorder="1"/>
    <xf numFmtId="0" fontId="0" fillId="0" borderId="6" xfId="0" applyBorder="1"/>
    <xf numFmtId="49" fontId="5" fillId="0" borderId="6" xfId="0" applyNumberFormat="1" applyFont="1" applyBorder="1" applyAlignment="1" applyProtection="1">
      <alignment horizontal="center"/>
      <protection locked="0"/>
    </xf>
    <xf numFmtId="2" fontId="5" fillId="0" borderId="6" xfId="0" applyNumberFormat="1" applyFont="1" applyBorder="1" applyAlignment="1" applyProtection="1">
      <alignment horizontal="center"/>
      <protection locked="0"/>
    </xf>
    <xf numFmtId="0" fontId="0" fillId="0" borderId="8" xfId="0" applyBorder="1"/>
    <xf numFmtId="0" fontId="3" fillId="0" borderId="4" xfId="0" applyFont="1" applyBorder="1"/>
    <xf numFmtId="0" fontId="6" fillId="0" borderId="4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wrapText="1"/>
      <protection locked="0"/>
    </xf>
    <xf numFmtId="49" fontId="5" fillId="0" borderId="4" xfId="0" applyNumberFormat="1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center"/>
      <protection locked="0"/>
    </xf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0" fontId="3" fillId="0" borderId="13" xfId="0" applyFont="1" applyBorder="1"/>
    <xf numFmtId="0" fontId="0" fillId="0" borderId="1" xfId="0" applyBorder="1"/>
    <xf numFmtId="0" fontId="6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wrapText="1"/>
      <protection locked="0"/>
    </xf>
    <xf numFmtId="1" fontId="5" fillId="0" borderId="1" xfId="0" applyNumberFormat="1" applyFont="1" applyBorder="1" applyAlignment="1" applyProtection="1">
      <alignment horizontal="center"/>
      <protection locked="0"/>
    </xf>
    <xf numFmtId="2" fontId="5" fillId="0" borderId="1" xfId="0" applyNumberFormat="1" applyFont="1" applyBorder="1" applyAlignment="1" applyProtection="1">
      <alignment horizontal="center"/>
      <protection locked="0"/>
    </xf>
    <xf numFmtId="0" fontId="3" fillId="0" borderId="4" xfId="0" applyFont="1" applyBorder="1" applyProtection="1">
      <protection locked="0"/>
    </xf>
    <xf numFmtId="0" fontId="0" fillId="0" borderId="20" xfId="0" applyBorder="1"/>
    <xf numFmtId="0" fontId="0" fillId="0" borderId="21" xfId="0" applyBorder="1" applyProtection="1"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wrapText="1"/>
      <protection locked="0"/>
    </xf>
    <xf numFmtId="1" fontId="5" fillId="0" borderId="21" xfId="0" applyNumberFormat="1" applyFont="1" applyBorder="1" applyAlignment="1" applyProtection="1">
      <alignment horizontal="center"/>
      <protection locked="0"/>
    </xf>
    <xf numFmtId="2" fontId="5" fillId="0" borderId="21" xfId="0" applyNumberFormat="1" applyFont="1" applyBorder="1" applyAlignment="1" applyProtection="1">
      <alignment horizontal="center"/>
      <protection locked="0"/>
    </xf>
    <xf numFmtId="2" fontId="0" fillId="0" borderId="21" xfId="0" applyNumberFormat="1" applyBorder="1" applyProtection="1">
      <protection locked="0"/>
    </xf>
    <xf numFmtId="2" fontId="0" fillId="0" borderId="22" xfId="0" applyNumberForma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1" fontId="5" fillId="0" borderId="6" xfId="0" applyNumberFormat="1" applyFont="1" applyBorder="1" applyAlignment="1" applyProtection="1">
      <alignment horizontal="center"/>
      <protection locked="0"/>
    </xf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0" fillId="0" borderId="4" xfId="0" applyBorder="1"/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1" fontId="5" fillId="0" borderId="4" xfId="0" applyNumberFormat="1" applyFont="1" applyBorder="1" applyAlignment="1" applyProtection="1">
      <alignment horizontal="center"/>
      <protection locked="0"/>
    </xf>
    <xf numFmtId="2" fontId="0" fillId="0" borderId="4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0" fontId="0" fillId="0" borderId="19" xfId="0" applyBorder="1"/>
    <xf numFmtId="0" fontId="0" fillId="0" borderId="16" xfId="0" applyBorder="1" applyProtection="1"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wrapText="1"/>
      <protection locked="0"/>
    </xf>
    <xf numFmtId="1" fontId="5" fillId="0" borderId="16" xfId="0" applyNumberFormat="1" applyFont="1" applyBorder="1" applyAlignment="1" applyProtection="1">
      <alignment horizontal="center"/>
      <protection locked="0"/>
    </xf>
    <xf numFmtId="2" fontId="5" fillId="0" borderId="16" xfId="0" applyNumberFormat="1" applyFont="1" applyBorder="1" applyAlignment="1" applyProtection="1">
      <alignment horizontal="center"/>
      <protection locked="0"/>
    </xf>
    <xf numFmtId="2" fontId="0" fillId="0" borderId="16" xfId="0" applyNumberFormat="1" applyBorder="1" applyProtection="1">
      <protection locked="0"/>
    </xf>
    <xf numFmtId="2" fontId="0" fillId="0" borderId="17" xfId="0" applyNumberForma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49" fontId="5" fillId="0" borderId="1" xfId="0" applyNumberFormat="1" applyFont="1" applyBorder="1" applyAlignment="1" applyProtection="1">
      <alignment horizontal="center"/>
      <protection locked="0"/>
    </xf>
    <xf numFmtId="0" fontId="0" fillId="0" borderId="13" xfId="0" applyBorder="1"/>
    <xf numFmtId="0" fontId="2" fillId="0" borderId="13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wrapText="1"/>
      <protection locked="0"/>
    </xf>
    <xf numFmtId="49" fontId="5" fillId="0" borderId="13" xfId="0" applyNumberFormat="1" applyFont="1" applyBorder="1" applyAlignment="1" applyProtection="1">
      <alignment horizontal="center"/>
      <protection locked="0"/>
    </xf>
    <xf numFmtId="2" fontId="5" fillId="0" borderId="13" xfId="0" applyNumberFormat="1" applyFont="1" applyBorder="1" applyAlignment="1" applyProtection="1">
      <alignment horizontal="center"/>
      <protection locked="0"/>
    </xf>
    <xf numFmtId="2" fontId="0" fillId="0" borderId="13" xfId="0" applyNumberFormat="1" applyBorder="1" applyProtection="1">
      <protection locked="0"/>
    </xf>
    <xf numFmtId="2" fontId="0" fillId="0" borderId="14" xfId="0" applyNumberFormat="1" applyBorder="1" applyProtection="1">
      <protection locked="0"/>
    </xf>
    <xf numFmtId="0" fontId="0" fillId="0" borderId="15" xfId="0" applyBorder="1"/>
    <xf numFmtId="0" fontId="0" fillId="0" borderId="16" xfId="0" applyBorder="1"/>
    <xf numFmtId="0" fontId="5" fillId="0" borderId="16" xfId="0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0" fillId="0" borderId="16" xfId="0" applyNumberFormat="1" applyBorder="1"/>
    <xf numFmtId="2" fontId="0" fillId="0" borderId="17" xfId="0" applyNumberFormat="1" applyBorder="1"/>
    <xf numFmtId="0" fontId="3" fillId="0" borderId="1" xfId="0" applyFont="1" applyBorder="1" applyAlignment="1">
      <alignment vertical="center"/>
    </xf>
    <xf numFmtId="0" fontId="3" fillId="0" borderId="25" xfId="0" applyFont="1" applyBorder="1"/>
    <xf numFmtId="0" fontId="3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3" fillId="0" borderId="15" xfId="0" applyFont="1" applyBorder="1"/>
    <xf numFmtId="0" fontId="3" fillId="0" borderId="16" xfId="0" applyFont="1" applyBorder="1"/>
    <xf numFmtId="0" fontId="6" fillId="0" borderId="16" xfId="0" applyFont="1" applyBorder="1" applyAlignment="1">
      <alignment horizontal="center"/>
    </xf>
    <xf numFmtId="0" fontId="6" fillId="0" borderId="16" xfId="0" applyFont="1" applyBorder="1"/>
    <xf numFmtId="0" fontId="7" fillId="0" borderId="16" xfId="0" applyFont="1" applyBorder="1" applyAlignment="1">
      <alignment horizontal="center"/>
    </xf>
    <xf numFmtId="2" fontId="7" fillId="0" borderId="16" xfId="0" applyNumberFormat="1" applyFont="1" applyBorder="1" applyAlignment="1">
      <alignment horizontal="center" vertical="center"/>
    </xf>
    <xf numFmtId="2" fontId="3" fillId="0" borderId="16" xfId="0" applyNumberFormat="1" applyFont="1" applyBorder="1"/>
    <xf numFmtId="2" fontId="3" fillId="0" borderId="17" xfId="0" applyNumberFormat="1" applyFont="1" applyBorder="1"/>
    <xf numFmtId="0" fontId="3" fillId="0" borderId="24" xfId="0" applyFont="1" applyBorder="1"/>
    <xf numFmtId="2" fontId="7" fillId="0" borderId="16" xfId="0" applyNumberFormat="1" applyFont="1" applyBorder="1"/>
    <xf numFmtId="0" fontId="3" fillId="0" borderId="27" xfId="0" applyFont="1" applyBorder="1"/>
    <xf numFmtId="0" fontId="3" fillId="0" borderId="28" xfId="0" applyFont="1" applyBorder="1"/>
    <xf numFmtId="0" fontId="3" fillId="0" borderId="28" xfId="0" applyFont="1" applyBorder="1" applyAlignment="1">
      <alignment horizontal="center"/>
    </xf>
    <xf numFmtId="2" fontId="7" fillId="0" borderId="16" xfId="0" applyNumberFormat="1" applyFont="1" applyBorder="1" applyAlignment="1">
      <alignment horizontal="right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wrapText="1"/>
      <protection locked="0"/>
    </xf>
    <xf numFmtId="49" fontId="5" fillId="0" borderId="11" xfId="0" applyNumberFormat="1" applyFont="1" applyBorder="1" applyAlignment="1" applyProtection="1">
      <alignment horizontal="center"/>
      <protection locked="0"/>
    </xf>
    <xf numFmtId="2" fontId="5" fillId="0" borderId="1" xfId="0" applyNumberFormat="1" applyFont="1" applyBorder="1" applyAlignment="1" applyProtection="1">
      <alignment horizontal="right"/>
      <protection locked="0"/>
    </xf>
    <xf numFmtId="0" fontId="3" fillId="0" borderId="10" xfId="0" applyFont="1" applyBorder="1"/>
    <xf numFmtId="0" fontId="6" fillId="0" borderId="32" xfId="0" applyFont="1" applyBorder="1" applyAlignment="1" applyProtection="1">
      <alignment horizontal="center"/>
      <protection locked="0"/>
    </xf>
    <xf numFmtId="0" fontId="6" fillId="0" borderId="32" xfId="0" applyFont="1" applyBorder="1" applyAlignment="1" applyProtection="1">
      <alignment wrapText="1"/>
      <protection locked="0"/>
    </xf>
    <xf numFmtId="2" fontId="0" fillId="0" borderId="32" xfId="0" applyNumberFormat="1" applyBorder="1" applyProtection="1">
      <protection locked="0"/>
    </xf>
    <xf numFmtId="2" fontId="0" fillId="0" borderId="33" xfId="0" applyNumberFormat="1" applyBorder="1" applyProtection="1">
      <protection locked="0"/>
    </xf>
    <xf numFmtId="0" fontId="3" fillId="0" borderId="4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3" fillId="0" borderId="29" xfId="0" applyFont="1" applyBorder="1"/>
    <xf numFmtId="0" fontId="3" fillId="0" borderId="30" xfId="0" applyFont="1" applyBorder="1"/>
    <xf numFmtId="0" fontId="3" fillId="0" borderId="31" xfId="0" applyFont="1" applyBorder="1"/>
    <xf numFmtId="2" fontId="0" fillId="0" borderId="0" xfId="0" applyNumberFormat="1"/>
    <xf numFmtId="0" fontId="0" fillId="0" borderId="2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3" fillId="0" borderId="12" xfId="0" applyFont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wrapText="1"/>
      <protection locked="0"/>
    </xf>
    <xf numFmtId="0" fontId="3" fillId="0" borderId="3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N41"/>
  <sheetViews>
    <sheetView tabSelected="1" zoomScaleNormal="100" workbookViewId="0">
      <selection activeCell="I1" sqref="I1:I1048576"/>
    </sheetView>
  </sheetViews>
  <sheetFormatPr defaultColWidth="8.85546875" defaultRowHeight="15" x14ac:dyDescent="0.25"/>
  <cols>
    <col min="1" max="1" width="11.7109375" bestFit="1" customWidth="1"/>
    <col min="2" max="2" width="11.5703125" customWidth="1"/>
    <col min="3" max="3" width="7.140625" bestFit="1" customWidth="1"/>
    <col min="4" max="4" width="24.7109375" bestFit="1" customWidth="1"/>
    <col min="5" max="5" width="9.28515625" style="4" bestFit="1" customWidth="1"/>
    <col min="6" max="6" width="8.28515625" style="4" bestFit="1" customWidth="1"/>
    <col min="7" max="7" width="7.7109375" customWidth="1"/>
    <col min="8" max="8" width="6.140625" bestFit="1" customWidth="1"/>
    <col min="9" max="9" width="11.28515625" customWidth="1"/>
    <col min="10" max="10" width="8.5703125" customWidth="1"/>
  </cols>
  <sheetData>
    <row r="1" spans="1:14" ht="28.9" customHeight="1" x14ac:dyDescent="0.25">
      <c r="A1" t="s">
        <v>0</v>
      </c>
      <c r="B1" s="121" t="s">
        <v>65</v>
      </c>
      <c r="C1" s="122"/>
      <c r="D1" s="123"/>
      <c r="E1" s="4" t="s">
        <v>27</v>
      </c>
      <c r="F1" s="3"/>
      <c r="H1" t="s">
        <v>1</v>
      </c>
      <c r="I1" s="2">
        <v>45037</v>
      </c>
    </row>
    <row r="2" spans="1:14" ht="15.75" thickBot="1" x14ac:dyDescent="0.3">
      <c r="B2" s="1" t="s">
        <v>26</v>
      </c>
    </row>
    <row r="3" spans="1:14" s="5" customFormat="1" ht="30.75" thickBot="1" x14ac:dyDescent="0.3">
      <c r="A3" s="100" t="s">
        <v>2</v>
      </c>
      <c r="B3" s="101" t="s">
        <v>3</v>
      </c>
      <c r="C3" s="101" t="s">
        <v>19</v>
      </c>
      <c r="D3" s="101" t="s">
        <v>4</v>
      </c>
      <c r="E3" s="102" t="s">
        <v>20</v>
      </c>
      <c r="F3" s="102" t="s">
        <v>5</v>
      </c>
      <c r="G3" s="103" t="s">
        <v>6</v>
      </c>
      <c r="H3" s="101" t="s">
        <v>7</v>
      </c>
      <c r="I3" s="101" t="s">
        <v>8</v>
      </c>
      <c r="J3" s="104" t="s">
        <v>9</v>
      </c>
    </row>
    <row r="4" spans="1:14" ht="30" x14ac:dyDescent="0.25">
      <c r="A4" s="21" t="s">
        <v>10</v>
      </c>
      <c r="B4" s="49" t="s">
        <v>11</v>
      </c>
      <c r="C4" s="23">
        <v>72</v>
      </c>
      <c r="D4" s="24" t="s">
        <v>36</v>
      </c>
      <c r="E4" s="25" t="s">
        <v>61</v>
      </c>
      <c r="F4" s="26">
        <f>7.82*180/150+56.59*30/50</f>
        <v>43.338000000000001</v>
      </c>
      <c r="G4" s="53">
        <f>294/200*215</f>
        <v>316.05</v>
      </c>
      <c r="H4" s="53">
        <f>14.86/200*215</f>
        <v>15.974499999999997</v>
      </c>
      <c r="I4" s="53">
        <f>16.58/200*215</f>
        <v>17.823499999999996</v>
      </c>
      <c r="J4" s="54">
        <f>22.8/200*215</f>
        <v>24.51</v>
      </c>
    </row>
    <row r="5" spans="1:14" ht="15.75" x14ac:dyDescent="0.25">
      <c r="A5" s="21"/>
      <c r="B5" s="22" t="s">
        <v>12</v>
      </c>
      <c r="C5" s="50">
        <v>30</v>
      </c>
      <c r="D5" s="51" t="s">
        <v>48</v>
      </c>
      <c r="E5" s="52">
        <v>200</v>
      </c>
      <c r="F5" s="26">
        <v>2.89</v>
      </c>
      <c r="G5" s="53">
        <v>43</v>
      </c>
      <c r="H5" s="53">
        <v>0.06</v>
      </c>
      <c r="I5" s="53">
        <v>0.01</v>
      </c>
      <c r="J5" s="54">
        <v>10.220000000000001</v>
      </c>
    </row>
    <row r="6" spans="1:14" ht="15.75" x14ac:dyDescent="0.25">
      <c r="A6" s="21"/>
      <c r="B6" s="29" t="s">
        <v>43</v>
      </c>
      <c r="C6" s="23" t="s">
        <v>21</v>
      </c>
      <c r="D6" s="24" t="s">
        <v>62</v>
      </c>
      <c r="E6" s="52">
        <v>40</v>
      </c>
      <c r="F6" s="26">
        <f>225.6*0.04</f>
        <v>9.0239999999999991</v>
      </c>
      <c r="G6" s="27">
        <f>190.76/60*21</f>
        <v>66.765999999999991</v>
      </c>
      <c r="H6" s="27">
        <f>3.22/60*21</f>
        <v>1.127</v>
      </c>
      <c r="I6" s="27">
        <f>4.2/60*21</f>
        <v>1.4700000000000002</v>
      </c>
      <c r="J6" s="28">
        <f>35.02/60*21</f>
        <v>12.257</v>
      </c>
    </row>
    <row r="7" spans="1:14" ht="15.75" x14ac:dyDescent="0.25">
      <c r="A7" s="21"/>
      <c r="B7" s="30" t="s">
        <v>17</v>
      </c>
      <c r="C7" s="31" t="s">
        <v>21</v>
      </c>
      <c r="D7" s="32" t="s">
        <v>22</v>
      </c>
      <c r="E7" s="33">
        <v>26</v>
      </c>
      <c r="F7" s="34">
        <f>50.71*0.026</f>
        <v>1.31846</v>
      </c>
      <c r="G7" s="71">
        <f>40*26/20</f>
        <v>52</v>
      </c>
      <c r="H7" s="71">
        <f>0.98*26/20</f>
        <v>1.274</v>
      </c>
      <c r="I7" s="71">
        <f>0.2*26/20</f>
        <v>0.26</v>
      </c>
      <c r="J7" s="72">
        <f>8.95*26/20</f>
        <v>11.635</v>
      </c>
    </row>
    <row r="8" spans="1:14" ht="15.75" x14ac:dyDescent="0.25">
      <c r="A8" s="21"/>
      <c r="B8" s="35" t="s">
        <v>18</v>
      </c>
      <c r="C8" s="31" t="s">
        <v>21</v>
      </c>
      <c r="D8" s="32" t="s">
        <v>35</v>
      </c>
      <c r="E8" s="33">
        <v>26</v>
      </c>
      <c r="F8" s="34">
        <f>74.8*0.026</f>
        <v>1.9447999999999999</v>
      </c>
      <c r="G8" s="27">
        <f>41.6*26/20</f>
        <v>54.080000000000005</v>
      </c>
      <c r="H8" s="27">
        <f>1.6*26/20</f>
        <v>2.08</v>
      </c>
      <c r="I8" s="27">
        <f>0.03*26/20</f>
        <v>3.9E-2</v>
      </c>
      <c r="J8" s="28">
        <f>8.02*26/20</f>
        <v>10.425999999999998</v>
      </c>
      <c r="N8" s="120"/>
    </row>
    <row r="9" spans="1:14" ht="16.5" thickBot="1" x14ac:dyDescent="0.3">
      <c r="A9" s="36"/>
      <c r="B9" s="37"/>
      <c r="C9" s="38"/>
      <c r="D9" s="39"/>
      <c r="E9" s="40"/>
      <c r="F9" s="41">
        <f>SUM(F4:F8)</f>
        <v>58.515260000000005</v>
      </c>
      <c r="G9" s="42">
        <f>SUM(G4:G8)</f>
        <v>531.89600000000007</v>
      </c>
      <c r="H9" s="42">
        <f>SUM(H4:H8)</f>
        <v>20.515499999999996</v>
      </c>
      <c r="I9" s="42">
        <f>SUM(I4:I8)</f>
        <v>19.602499999999999</v>
      </c>
      <c r="J9" s="43">
        <f>SUM(J4:J8)</f>
        <v>69.048000000000002</v>
      </c>
    </row>
    <row r="10" spans="1:14" ht="15.75" x14ac:dyDescent="0.25">
      <c r="A10" s="17" t="s">
        <v>23</v>
      </c>
      <c r="B10" s="18"/>
      <c r="C10" s="44">
        <v>25</v>
      </c>
      <c r="D10" s="45" t="s">
        <v>49</v>
      </c>
      <c r="E10" s="46">
        <v>200</v>
      </c>
      <c r="F10" s="20">
        <v>11.82</v>
      </c>
      <c r="G10" s="47">
        <v>136</v>
      </c>
      <c r="H10" s="47">
        <v>0.6</v>
      </c>
      <c r="I10" s="47">
        <v>0</v>
      </c>
      <c r="J10" s="48">
        <v>33</v>
      </c>
    </row>
    <row r="11" spans="1:14" ht="15.75" x14ac:dyDescent="0.25">
      <c r="A11" s="21"/>
      <c r="B11" s="49"/>
      <c r="C11" s="63">
        <v>76</v>
      </c>
      <c r="D11" s="64" t="s">
        <v>50</v>
      </c>
      <c r="E11" s="33">
        <v>100</v>
      </c>
      <c r="F11" s="34">
        <v>34.81</v>
      </c>
      <c r="G11" s="27">
        <f>245</f>
        <v>245</v>
      </c>
      <c r="H11" s="27">
        <v>12.45</v>
      </c>
      <c r="I11" s="27">
        <v>8.59</v>
      </c>
      <c r="J11" s="28">
        <v>6.33</v>
      </c>
    </row>
    <row r="12" spans="1:14" ht="16.5" thickBot="1" x14ac:dyDescent="0.3">
      <c r="A12" s="55"/>
      <c r="B12" s="56"/>
      <c r="C12" s="57"/>
      <c r="D12" s="58"/>
      <c r="E12" s="59"/>
      <c r="F12" s="60">
        <v>43.9</v>
      </c>
      <c r="G12" s="61">
        <f>SUM(G10:G11)</f>
        <v>381</v>
      </c>
      <c r="H12" s="61">
        <f>SUM(H10:H11)</f>
        <v>13.049999999999999</v>
      </c>
      <c r="I12" s="61">
        <f>SUM(I10:I11)</f>
        <v>8.59</v>
      </c>
      <c r="J12" s="62">
        <f>SUM(J10:J11)</f>
        <v>39.33</v>
      </c>
    </row>
    <row r="13" spans="1:14" ht="15.75" x14ac:dyDescent="0.25">
      <c r="A13" s="17" t="s">
        <v>13</v>
      </c>
      <c r="B13" s="18" t="s">
        <v>14</v>
      </c>
      <c r="C13" s="44">
        <v>54</v>
      </c>
      <c r="D13" s="45" t="s">
        <v>37</v>
      </c>
      <c r="E13" s="19" t="s">
        <v>54</v>
      </c>
      <c r="F13" s="20">
        <f>19.73*60/60</f>
        <v>19.73</v>
      </c>
      <c r="G13" s="47">
        <v>75</v>
      </c>
      <c r="H13" s="47">
        <v>0.5</v>
      </c>
      <c r="I13" s="47">
        <v>5.0999999999999996</v>
      </c>
      <c r="J13" s="48">
        <v>0</v>
      </c>
    </row>
    <row r="14" spans="1:14" ht="30" x14ac:dyDescent="0.25">
      <c r="A14" s="21"/>
      <c r="B14" s="30" t="s">
        <v>15</v>
      </c>
      <c r="C14" s="63">
        <v>33</v>
      </c>
      <c r="D14" s="64" t="s">
        <v>38</v>
      </c>
      <c r="E14" s="65" t="s">
        <v>58</v>
      </c>
      <c r="F14" s="34">
        <f>10.81*200/250+1.84</f>
        <v>10.488</v>
      </c>
      <c r="G14" s="27">
        <f>108.75/255*205</f>
        <v>87.42647058823529</v>
      </c>
      <c r="H14" s="27">
        <f>1.72/255*205</f>
        <v>1.3827450980392155</v>
      </c>
      <c r="I14" s="27">
        <f>6.18/255*205</f>
        <v>4.9682352941176466</v>
      </c>
      <c r="J14" s="28">
        <f>11.66/255*205</f>
        <v>9.3737254901960778</v>
      </c>
    </row>
    <row r="15" spans="1:14" ht="15.75" x14ac:dyDescent="0.25">
      <c r="A15" s="21"/>
      <c r="B15" s="30" t="s">
        <v>16</v>
      </c>
      <c r="C15" s="63">
        <v>58</v>
      </c>
      <c r="D15" s="64" t="s">
        <v>41</v>
      </c>
      <c r="E15" s="65" t="s">
        <v>33</v>
      </c>
      <c r="F15" s="34">
        <v>47.27</v>
      </c>
      <c r="G15" s="27">
        <v>257.39999999999998</v>
      </c>
      <c r="H15" s="27">
        <v>16.02</v>
      </c>
      <c r="I15" s="27">
        <v>15.75</v>
      </c>
      <c r="J15" s="28">
        <v>12.87</v>
      </c>
    </row>
    <row r="16" spans="1:14" ht="15.75" x14ac:dyDescent="0.25">
      <c r="A16" s="21"/>
      <c r="B16" s="30" t="s">
        <v>34</v>
      </c>
      <c r="C16" s="63">
        <v>7</v>
      </c>
      <c r="D16" s="64" t="s">
        <v>39</v>
      </c>
      <c r="E16" s="65" t="s">
        <v>57</v>
      </c>
      <c r="F16" s="34">
        <f>20.76*150/180</f>
        <v>17.300000000000004</v>
      </c>
      <c r="G16" s="27">
        <f>159.12/180*150</f>
        <v>132.6</v>
      </c>
      <c r="H16" s="27">
        <f>3.74/180*150</f>
        <v>3.1166666666666671</v>
      </c>
      <c r="I16" s="27">
        <f>6.12/180*150</f>
        <v>5.1000000000000005</v>
      </c>
      <c r="J16" s="28">
        <f>22.28/180*150</f>
        <v>18.566666666666666</v>
      </c>
    </row>
    <row r="17" spans="1:10" ht="15.75" x14ac:dyDescent="0.25">
      <c r="A17" s="21"/>
      <c r="B17" s="30" t="s">
        <v>24</v>
      </c>
      <c r="C17" s="63">
        <v>35</v>
      </c>
      <c r="D17" s="64" t="s">
        <v>40</v>
      </c>
      <c r="E17" s="65">
        <v>200</v>
      </c>
      <c r="F17" s="34">
        <v>6.56</v>
      </c>
      <c r="G17" s="27">
        <v>97</v>
      </c>
      <c r="H17" s="27">
        <v>0.68</v>
      </c>
      <c r="I17" s="27">
        <v>0.28000000000000003</v>
      </c>
      <c r="J17" s="28">
        <v>19.64</v>
      </c>
    </row>
    <row r="18" spans="1:10" ht="15.75" x14ac:dyDescent="0.25">
      <c r="A18" s="21"/>
      <c r="B18" s="30" t="s">
        <v>18</v>
      </c>
      <c r="C18" s="63" t="s">
        <v>21</v>
      </c>
      <c r="D18" s="64" t="s">
        <v>25</v>
      </c>
      <c r="E18" s="65" t="s">
        <v>63</v>
      </c>
      <c r="F18" s="34">
        <f>74.8*0.03</f>
        <v>2.2439999999999998</v>
      </c>
      <c r="G18" s="27">
        <f>62.4*30/30</f>
        <v>62.4</v>
      </c>
      <c r="H18" s="27">
        <f>2.4*30/30</f>
        <v>2.4</v>
      </c>
      <c r="I18" s="27">
        <f>0.45*30/30</f>
        <v>0.45</v>
      </c>
      <c r="J18" s="28">
        <f>11.37*30/30</f>
        <v>11.37</v>
      </c>
    </row>
    <row r="19" spans="1:10" ht="15.75" x14ac:dyDescent="0.25">
      <c r="A19" s="21"/>
      <c r="B19" s="66" t="s">
        <v>17</v>
      </c>
      <c r="C19" s="67" t="s">
        <v>21</v>
      </c>
      <c r="D19" s="68" t="s">
        <v>22</v>
      </c>
      <c r="E19" s="69" t="s">
        <v>63</v>
      </c>
      <c r="F19" s="70">
        <f>50.71*0.03</f>
        <v>1.5212999999999999</v>
      </c>
      <c r="G19" s="71">
        <f>60*30/30</f>
        <v>60</v>
      </c>
      <c r="H19" s="71">
        <f>1.47*30/30</f>
        <v>1.47</v>
      </c>
      <c r="I19" s="71">
        <f>0.3*30/30</f>
        <v>0.3</v>
      </c>
      <c r="J19" s="72">
        <f>13.44*30/30</f>
        <v>13.44</v>
      </c>
    </row>
    <row r="20" spans="1:10" ht="16.5" thickBot="1" x14ac:dyDescent="0.3">
      <c r="A20" s="73"/>
      <c r="B20" s="56"/>
      <c r="C20" s="74"/>
      <c r="D20" s="74"/>
      <c r="E20" s="76"/>
      <c r="F20" s="76">
        <v>87.79</v>
      </c>
      <c r="G20" s="77">
        <f>SUM(G13:G19)</f>
        <v>771.82647058823522</v>
      </c>
      <c r="H20" s="77">
        <f>SUM(H13:H19)</f>
        <v>25.56941176470588</v>
      </c>
      <c r="I20" s="77">
        <f>SUM(I13:I19)</f>
        <v>31.948235294117648</v>
      </c>
      <c r="J20" s="78">
        <f>SUM(J13:J19)</f>
        <v>85.26039215686275</v>
      </c>
    </row>
    <row r="21" spans="1:10" ht="16.5" thickBot="1" x14ac:dyDescent="0.3">
      <c r="B21" s="1" t="s">
        <v>28</v>
      </c>
      <c r="E21" s="12"/>
      <c r="F21" s="12"/>
    </row>
    <row r="22" spans="1:10" ht="30.75" thickBot="1" x14ac:dyDescent="0.3">
      <c r="A22" s="100" t="s">
        <v>2</v>
      </c>
      <c r="B22" s="101" t="s">
        <v>3</v>
      </c>
      <c r="C22" s="101" t="s">
        <v>19</v>
      </c>
      <c r="D22" s="101" t="s">
        <v>4</v>
      </c>
      <c r="E22" s="102" t="s">
        <v>20</v>
      </c>
      <c r="F22" s="102" t="s">
        <v>5</v>
      </c>
      <c r="G22" s="103" t="s">
        <v>6</v>
      </c>
      <c r="H22" s="101" t="s">
        <v>7</v>
      </c>
      <c r="I22" s="101" t="s">
        <v>8</v>
      </c>
      <c r="J22" s="104" t="s">
        <v>9</v>
      </c>
    </row>
    <row r="23" spans="1:10" ht="30" x14ac:dyDescent="0.25">
      <c r="A23" s="21" t="s">
        <v>10</v>
      </c>
      <c r="B23" s="49" t="s">
        <v>11</v>
      </c>
      <c r="C23" s="110">
        <v>72</v>
      </c>
      <c r="D23" s="111" t="s">
        <v>36</v>
      </c>
      <c r="E23" s="25" t="s">
        <v>59</v>
      </c>
      <c r="F23" s="26">
        <f>7.82*180/150+56.59*40/50</f>
        <v>54.656000000000006</v>
      </c>
      <c r="G23" s="112">
        <f>294*220/200</f>
        <v>323.39999999999998</v>
      </c>
      <c r="H23" s="112">
        <f>14.68*220/200</f>
        <v>16.148</v>
      </c>
      <c r="I23" s="112">
        <v>16.579999999999998</v>
      </c>
      <c r="J23" s="113">
        <v>22.8</v>
      </c>
    </row>
    <row r="24" spans="1:10" ht="15.75" x14ac:dyDescent="0.25">
      <c r="A24" s="21"/>
      <c r="B24" s="22" t="s">
        <v>12</v>
      </c>
      <c r="C24" s="63">
        <v>30</v>
      </c>
      <c r="D24" s="64" t="s">
        <v>48</v>
      </c>
      <c r="E24" s="33">
        <v>200</v>
      </c>
      <c r="F24" s="34">
        <v>2.89</v>
      </c>
      <c r="G24" s="27">
        <v>43</v>
      </c>
      <c r="H24" s="27">
        <v>0.06</v>
      </c>
      <c r="I24" s="27">
        <v>0.01</v>
      </c>
      <c r="J24" s="28">
        <v>10.220000000000001</v>
      </c>
    </row>
    <row r="25" spans="1:10" ht="15.75" x14ac:dyDescent="0.25">
      <c r="A25" s="21"/>
      <c r="B25" s="29" t="s">
        <v>43</v>
      </c>
      <c r="C25" s="23" t="s">
        <v>21</v>
      </c>
      <c r="D25" s="24" t="s">
        <v>62</v>
      </c>
      <c r="E25" s="52">
        <v>40</v>
      </c>
      <c r="F25" s="26">
        <f>225.6*0.04</f>
        <v>9.0239999999999991</v>
      </c>
      <c r="G25" s="27">
        <f>190.76/60*21</f>
        <v>66.765999999999991</v>
      </c>
      <c r="H25" s="27">
        <f>3.22/60*21</f>
        <v>1.127</v>
      </c>
      <c r="I25" s="27">
        <f>4.2/60*21</f>
        <v>1.4700000000000002</v>
      </c>
      <c r="J25" s="28">
        <f>35.02/60*21</f>
        <v>12.257</v>
      </c>
    </row>
    <row r="26" spans="1:10" ht="15.75" x14ac:dyDescent="0.25">
      <c r="A26" s="21"/>
      <c r="B26" s="30" t="s">
        <v>17</v>
      </c>
      <c r="C26" s="31" t="s">
        <v>21</v>
      </c>
      <c r="D26" s="32" t="s">
        <v>22</v>
      </c>
      <c r="E26" s="33">
        <v>30</v>
      </c>
      <c r="F26" s="34">
        <f>50.71*0.03</f>
        <v>1.5212999999999999</v>
      </c>
      <c r="G26" s="71">
        <f>60*30/30</f>
        <v>60</v>
      </c>
      <c r="H26" s="71">
        <f>1.47*30/30</f>
        <v>1.47</v>
      </c>
      <c r="I26" s="71">
        <f>0.3*30/30</f>
        <v>0.3</v>
      </c>
      <c r="J26" s="72">
        <f>13.44*30/30</f>
        <v>13.44</v>
      </c>
    </row>
    <row r="27" spans="1:10" ht="15.75" x14ac:dyDescent="0.25">
      <c r="A27" s="21"/>
      <c r="B27" s="35" t="s">
        <v>18</v>
      </c>
      <c r="C27" s="31" t="s">
        <v>21</v>
      </c>
      <c r="D27" s="32" t="s">
        <v>35</v>
      </c>
      <c r="E27" s="33">
        <v>30</v>
      </c>
      <c r="F27" s="34">
        <f>74.8*0.03</f>
        <v>2.2439999999999998</v>
      </c>
      <c r="G27" s="27">
        <f>62.4*30/30</f>
        <v>62.4</v>
      </c>
      <c r="H27" s="27">
        <f>2.4*30/30</f>
        <v>2.4</v>
      </c>
      <c r="I27" s="27">
        <f>0.45*30/30</f>
        <v>0.45</v>
      </c>
      <c r="J27" s="28">
        <f>11.37*30/30</f>
        <v>11.37</v>
      </c>
    </row>
    <row r="28" spans="1:10" ht="16.5" thickBot="1" x14ac:dyDescent="0.3">
      <c r="A28" s="36"/>
      <c r="B28" s="37"/>
      <c r="C28" s="38"/>
      <c r="D28" s="39"/>
      <c r="E28" s="40"/>
      <c r="F28" s="41">
        <v>68.05</v>
      </c>
      <c r="G28" s="42">
        <f>SUM(G23:G27)</f>
        <v>555.56599999999992</v>
      </c>
      <c r="H28" s="42">
        <f>SUM(H23:H27)</f>
        <v>21.204999999999995</v>
      </c>
      <c r="I28" s="42">
        <f>SUM(I23:I27)</f>
        <v>18.809999999999999</v>
      </c>
      <c r="J28" s="43">
        <f>SUM(J23:J27)</f>
        <v>70.087000000000003</v>
      </c>
    </row>
    <row r="29" spans="1:10" ht="15.75" x14ac:dyDescent="0.25">
      <c r="A29" s="17" t="s">
        <v>23</v>
      </c>
      <c r="B29" s="18"/>
      <c r="C29" s="44">
        <v>25</v>
      </c>
      <c r="D29" s="45" t="s">
        <v>49</v>
      </c>
      <c r="E29" s="46">
        <v>200</v>
      </c>
      <c r="F29" s="20">
        <v>11.82</v>
      </c>
      <c r="G29" s="47">
        <v>136</v>
      </c>
      <c r="H29" s="47">
        <v>0.6</v>
      </c>
      <c r="I29" s="47">
        <v>0</v>
      </c>
      <c r="J29" s="48">
        <v>33</v>
      </c>
    </row>
    <row r="30" spans="1:10" ht="15.75" x14ac:dyDescent="0.25">
      <c r="A30" s="21"/>
      <c r="B30" s="49"/>
      <c r="C30" s="63">
        <v>76</v>
      </c>
      <c r="D30" s="64" t="s">
        <v>50</v>
      </c>
      <c r="E30" s="33">
        <v>150</v>
      </c>
      <c r="F30" s="34">
        <f>34.81*150/100</f>
        <v>52.215000000000003</v>
      </c>
      <c r="G30" s="27">
        <f>245*1.5</f>
        <v>367.5</v>
      </c>
      <c r="H30" s="27">
        <f>12.45*1.25</f>
        <v>15.5625</v>
      </c>
      <c r="I30" s="27">
        <f>8.59*1.25</f>
        <v>10.737500000000001</v>
      </c>
      <c r="J30" s="28">
        <f>6.33*1.25</f>
        <v>7.9124999999999996</v>
      </c>
    </row>
    <row r="31" spans="1:10" ht="16.5" thickBot="1" x14ac:dyDescent="0.3">
      <c r="A31" s="55"/>
      <c r="B31" s="56"/>
      <c r="C31" s="57"/>
      <c r="D31" s="58"/>
      <c r="E31" s="59"/>
      <c r="F31" s="60">
        <v>51.02</v>
      </c>
      <c r="G31" s="61">
        <f>SUM(G29:G30)</f>
        <v>503.5</v>
      </c>
      <c r="H31" s="61">
        <f>SUM(H29:H30)</f>
        <v>16.162500000000001</v>
      </c>
      <c r="I31" s="61">
        <f>SUM(I29:I30)</f>
        <v>10.737500000000001</v>
      </c>
      <c r="J31" s="62">
        <f>SUM(J29:J30)</f>
        <v>40.912500000000001</v>
      </c>
    </row>
    <row r="32" spans="1:10" ht="15.75" x14ac:dyDescent="0.25">
      <c r="A32" s="17" t="s">
        <v>13</v>
      </c>
      <c r="B32" s="18" t="s">
        <v>14</v>
      </c>
      <c r="C32" s="44">
        <v>54</v>
      </c>
      <c r="D32" s="45" t="s">
        <v>37</v>
      </c>
      <c r="E32" s="19" t="s">
        <v>54</v>
      </c>
      <c r="F32" s="20">
        <f>19.73*60/60</f>
        <v>19.73</v>
      </c>
      <c r="G32" s="47">
        <v>75</v>
      </c>
      <c r="H32" s="47">
        <v>0.5</v>
      </c>
      <c r="I32" s="47">
        <v>5.0999999999999996</v>
      </c>
      <c r="J32" s="48">
        <v>0</v>
      </c>
    </row>
    <row r="33" spans="1:13" ht="30" x14ac:dyDescent="0.25">
      <c r="A33" s="21"/>
      <c r="B33" s="30" t="s">
        <v>15</v>
      </c>
      <c r="C33" s="63">
        <v>33</v>
      </c>
      <c r="D33" s="64" t="s">
        <v>38</v>
      </c>
      <c r="E33" s="65" t="s">
        <v>58</v>
      </c>
      <c r="F33" s="34">
        <f>10.81*200/250+1.84</f>
        <v>10.488</v>
      </c>
      <c r="G33" s="27">
        <v>108.75</v>
      </c>
      <c r="H33" s="27">
        <v>1.72</v>
      </c>
      <c r="I33" s="27">
        <v>6.18</v>
      </c>
      <c r="J33" s="28">
        <v>11.66</v>
      </c>
    </row>
    <row r="34" spans="1:13" ht="15.75" x14ac:dyDescent="0.25">
      <c r="A34" s="21"/>
      <c r="B34" s="30" t="s">
        <v>16</v>
      </c>
      <c r="C34" s="63">
        <v>58</v>
      </c>
      <c r="D34" s="64" t="s">
        <v>41</v>
      </c>
      <c r="E34" s="65" t="s">
        <v>47</v>
      </c>
      <c r="F34" s="34">
        <v>53</v>
      </c>
      <c r="G34" s="27">
        <v>286</v>
      </c>
      <c r="H34" s="27">
        <v>17.8</v>
      </c>
      <c r="I34" s="27">
        <v>17.5</v>
      </c>
      <c r="J34" s="28">
        <v>14.3</v>
      </c>
    </row>
    <row r="35" spans="1:13" ht="15.75" x14ac:dyDescent="0.25">
      <c r="A35" s="21"/>
      <c r="B35" s="30" t="s">
        <v>34</v>
      </c>
      <c r="C35" s="63">
        <v>7</v>
      </c>
      <c r="D35" s="64" t="s">
        <v>39</v>
      </c>
      <c r="E35" s="65" t="s">
        <v>46</v>
      </c>
      <c r="F35" s="34">
        <f>20.76*180/180</f>
        <v>20.76</v>
      </c>
      <c r="G35" s="27">
        <v>159.12</v>
      </c>
      <c r="H35" s="27">
        <v>3.74</v>
      </c>
      <c r="I35" s="27">
        <v>6.12</v>
      </c>
      <c r="J35" s="28">
        <v>22.28</v>
      </c>
      <c r="M35" t="s">
        <v>31</v>
      </c>
    </row>
    <row r="36" spans="1:13" ht="15.75" x14ac:dyDescent="0.25">
      <c r="A36" s="21"/>
      <c r="B36" s="30" t="s">
        <v>24</v>
      </c>
      <c r="C36" s="63">
        <v>35</v>
      </c>
      <c r="D36" s="64" t="s">
        <v>40</v>
      </c>
      <c r="E36" s="65">
        <v>200</v>
      </c>
      <c r="F36" s="34">
        <v>6.56</v>
      </c>
      <c r="G36" s="27">
        <v>97</v>
      </c>
      <c r="H36" s="27">
        <v>0.68</v>
      </c>
      <c r="I36" s="27">
        <v>0.28000000000000003</v>
      </c>
      <c r="J36" s="28">
        <v>19.64</v>
      </c>
    </row>
    <row r="37" spans="1:13" ht="15.75" x14ac:dyDescent="0.25">
      <c r="A37" s="21"/>
      <c r="B37" s="30" t="s">
        <v>18</v>
      </c>
      <c r="C37" s="63" t="s">
        <v>21</v>
      </c>
      <c r="D37" s="64" t="s">
        <v>25</v>
      </c>
      <c r="E37" s="65" t="s">
        <v>53</v>
      </c>
      <c r="F37" s="34">
        <f>68*0.04</f>
        <v>2.72</v>
      </c>
      <c r="G37" s="27">
        <f>83.2</f>
        <v>83.2</v>
      </c>
      <c r="H37" s="27">
        <v>3.2</v>
      </c>
      <c r="I37" s="27">
        <v>0.06</v>
      </c>
      <c r="J37" s="28">
        <v>16.04</v>
      </c>
    </row>
    <row r="38" spans="1:13" ht="15.75" x14ac:dyDescent="0.25">
      <c r="A38" s="21"/>
      <c r="B38" s="66" t="s">
        <v>17</v>
      </c>
      <c r="C38" s="67" t="s">
        <v>21</v>
      </c>
      <c r="D38" s="68" t="s">
        <v>22</v>
      </c>
      <c r="E38" s="69" t="s">
        <v>53</v>
      </c>
      <c r="F38" s="70">
        <f>46.14*0.04</f>
        <v>1.8456000000000001</v>
      </c>
      <c r="G38" s="71">
        <v>80</v>
      </c>
      <c r="H38" s="71">
        <v>1.96</v>
      </c>
      <c r="I38" s="71">
        <v>0.4</v>
      </c>
      <c r="J38" s="72">
        <v>17.920000000000002</v>
      </c>
    </row>
    <row r="39" spans="1:13" ht="16.5" thickBot="1" x14ac:dyDescent="0.3">
      <c r="A39" s="73"/>
      <c r="B39" s="56"/>
      <c r="C39" s="74"/>
      <c r="D39" s="74"/>
      <c r="E39" s="75"/>
      <c r="F39" s="76">
        <v>102.06</v>
      </c>
      <c r="G39" s="77">
        <f>SUM(G32:G38)</f>
        <v>889.07</v>
      </c>
      <c r="H39" s="77">
        <f>SUM(H32:H38)</f>
        <v>29.599999999999998</v>
      </c>
      <c r="I39" s="77">
        <f>SUM(I32:I38)</f>
        <v>35.64</v>
      </c>
      <c r="J39" s="78">
        <f>SUM(J32:J38)</f>
        <v>101.83999999999999</v>
      </c>
    </row>
    <row r="40" spans="1:13" x14ac:dyDescent="0.25">
      <c r="A40" s="6" t="s">
        <v>29</v>
      </c>
    </row>
    <row r="41" spans="1:13" x14ac:dyDescent="0.25">
      <c r="A41" s="6" t="s">
        <v>32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78" orientation="portrait" r:id="rId1"/>
  <ignoredErrors>
    <ignoredError sqref="G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0"/>
  <sheetViews>
    <sheetView workbookViewId="0">
      <selection activeCell="I2" sqref="I2"/>
    </sheetView>
  </sheetViews>
  <sheetFormatPr defaultColWidth="8.85546875" defaultRowHeight="15" x14ac:dyDescent="0.25"/>
  <cols>
    <col min="1" max="1" width="9.28515625" style="7" customWidth="1"/>
    <col min="2" max="2" width="11.5703125" style="7" customWidth="1"/>
    <col min="3" max="3" width="7.140625" style="7" bestFit="1" customWidth="1"/>
    <col min="4" max="4" width="24.7109375" style="7" customWidth="1"/>
    <col min="5" max="5" width="9.7109375" style="8" bestFit="1" customWidth="1"/>
    <col min="6" max="6" width="7.140625" style="8" bestFit="1" customWidth="1"/>
    <col min="7" max="7" width="6.28515625" style="7" customWidth="1"/>
    <col min="8" max="8" width="6.140625" style="7" bestFit="1" customWidth="1"/>
    <col min="9" max="9" width="10.140625" style="7" bestFit="1" customWidth="1"/>
    <col min="10" max="10" width="6.28515625" style="7" customWidth="1"/>
    <col min="11" max="16384" width="8.85546875" style="7"/>
  </cols>
  <sheetData>
    <row r="1" spans="1:10" ht="28.9" customHeight="1" x14ac:dyDescent="0.25">
      <c r="A1" s="7" t="s">
        <v>0</v>
      </c>
      <c r="B1" s="124" t="s">
        <v>65</v>
      </c>
      <c r="C1" s="125"/>
      <c r="D1" s="126"/>
      <c r="E1" s="8" t="s">
        <v>27</v>
      </c>
      <c r="F1" s="9"/>
      <c r="G1" s="129" t="s">
        <v>60</v>
      </c>
      <c r="H1" s="130"/>
      <c r="I1" s="10">
        <v>45037</v>
      </c>
    </row>
    <row r="2" spans="1:10" ht="15.75" thickBot="1" x14ac:dyDescent="0.3">
      <c r="A2" s="13"/>
      <c r="B2" s="14" t="s">
        <v>30</v>
      </c>
      <c r="C2" s="13"/>
      <c r="D2" s="13"/>
      <c r="E2" s="15"/>
      <c r="F2" s="15"/>
      <c r="G2" s="13"/>
      <c r="H2" s="13"/>
      <c r="I2" s="13"/>
      <c r="J2" s="13"/>
    </row>
    <row r="3" spans="1:10" ht="15.75" thickBot="1" x14ac:dyDescent="0.3">
      <c r="A3" s="117" t="s">
        <v>2</v>
      </c>
      <c r="B3" s="118" t="s">
        <v>3</v>
      </c>
      <c r="C3" s="118" t="s">
        <v>19</v>
      </c>
      <c r="D3" s="118" t="s">
        <v>4</v>
      </c>
      <c r="E3" s="118" t="s">
        <v>20</v>
      </c>
      <c r="F3" s="118" t="s">
        <v>5</v>
      </c>
      <c r="G3" s="118" t="s">
        <v>6</v>
      </c>
      <c r="H3" s="118" t="s">
        <v>7</v>
      </c>
      <c r="I3" s="118" t="s">
        <v>8</v>
      </c>
      <c r="J3" s="119" t="s">
        <v>9</v>
      </c>
    </row>
    <row r="4" spans="1:10" s="11" customFormat="1" ht="30" x14ac:dyDescent="0.25">
      <c r="A4" s="127" t="s">
        <v>10</v>
      </c>
      <c r="B4" s="114" t="s">
        <v>11</v>
      </c>
      <c r="C4" s="115">
        <v>72</v>
      </c>
      <c r="D4" s="24" t="s">
        <v>36</v>
      </c>
      <c r="E4" s="25" t="s">
        <v>61</v>
      </c>
      <c r="F4" s="26">
        <f>10.41*180/150+75.72*30/50</f>
        <v>57.923999999999992</v>
      </c>
      <c r="G4" s="53">
        <f>294/200*210</f>
        <v>308.7</v>
      </c>
      <c r="H4" s="53">
        <f>14.86/200*210</f>
        <v>15.602999999999998</v>
      </c>
      <c r="I4" s="53">
        <f>16.58/200*210</f>
        <v>17.408999999999999</v>
      </c>
      <c r="J4" s="54">
        <f>22.8/200*210</f>
        <v>23.94</v>
      </c>
    </row>
    <row r="5" spans="1:10" s="11" customFormat="1" ht="15.75" x14ac:dyDescent="0.25">
      <c r="A5" s="128"/>
      <c r="B5" s="79" t="s">
        <v>12</v>
      </c>
      <c r="C5" s="50">
        <v>30</v>
      </c>
      <c r="D5" s="51" t="s">
        <v>48</v>
      </c>
      <c r="E5" s="52">
        <v>200</v>
      </c>
      <c r="F5" s="26">
        <v>3.85</v>
      </c>
      <c r="G5" s="53">
        <v>43</v>
      </c>
      <c r="H5" s="53">
        <v>0.06</v>
      </c>
      <c r="I5" s="53">
        <v>0.01</v>
      </c>
      <c r="J5" s="54">
        <v>10.220000000000001</v>
      </c>
    </row>
    <row r="6" spans="1:10" ht="14.45" customHeight="1" x14ac:dyDescent="0.25">
      <c r="A6" s="80"/>
      <c r="B6" s="29" t="s">
        <v>43</v>
      </c>
      <c r="C6" s="23" t="s">
        <v>21</v>
      </c>
      <c r="D6" s="24" t="s">
        <v>62</v>
      </c>
      <c r="E6" s="52">
        <v>40</v>
      </c>
      <c r="F6" s="26">
        <f>225.6*0.04*1.33</f>
        <v>12.00192</v>
      </c>
      <c r="G6" s="27">
        <f>190.76/60*21</f>
        <v>66.765999999999991</v>
      </c>
      <c r="H6" s="27">
        <f>3.22/60*21</f>
        <v>1.127</v>
      </c>
      <c r="I6" s="27">
        <f>4.2/60*21</f>
        <v>1.4700000000000002</v>
      </c>
      <c r="J6" s="28">
        <f>35.02/60*21</f>
        <v>12.257</v>
      </c>
    </row>
    <row r="7" spans="1:10" ht="15.75" x14ac:dyDescent="0.25">
      <c r="A7" s="80"/>
      <c r="B7" s="81" t="s">
        <v>55</v>
      </c>
      <c r="C7" s="82" t="s">
        <v>21</v>
      </c>
      <c r="D7" s="32" t="s">
        <v>22</v>
      </c>
      <c r="E7" s="33">
        <v>28</v>
      </c>
      <c r="F7" s="34">
        <f>60.86*0.028</f>
        <v>1.70408</v>
      </c>
      <c r="G7" s="71">
        <f>40*28/20</f>
        <v>56</v>
      </c>
      <c r="H7" s="71">
        <f>0.98*28/20</f>
        <v>1.3719999999999999</v>
      </c>
      <c r="I7" s="71">
        <f>0.2*28/20</f>
        <v>0.28000000000000003</v>
      </c>
      <c r="J7" s="72">
        <f>8.95*28/20</f>
        <v>12.529999999999998</v>
      </c>
    </row>
    <row r="8" spans="1:10" ht="15.75" x14ac:dyDescent="0.25">
      <c r="A8" s="80"/>
      <c r="B8" s="81" t="s">
        <v>18</v>
      </c>
      <c r="C8" s="82" t="s">
        <v>21</v>
      </c>
      <c r="D8" s="32" t="s">
        <v>35</v>
      </c>
      <c r="E8" s="33">
        <v>29</v>
      </c>
      <c r="F8" s="34">
        <v>2.52</v>
      </c>
      <c r="G8" s="27">
        <f>41.6*29/20</f>
        <v>60.320000000000007</v>
      </c>
      <c r="H8" s="27">
        <f>1.6*29/20</f>
        <v>2.3200000000000003</v>
      </c>
      <c r="I8" s="27">
        <f>0.03*29/20</f>
        <v>4.3499999999999997E-2</v>
      </c>
      <c r="J8" s="28">
        <f>8.02*29/20</f>
        <v>11.629</v>
      </c>
    </row>
    <row r="9" spans="1:10" ht="16.5" thickBot="1" x14ac:dyDescent="0.3">
      <c r="A9" s="86"/>
      <c r="B9" s="87"/>
      <c r="C9" s="88"/>
      <c r="D9" s="89"/>
      <c r="E9" s="90"/>
      <c r="F9" s="91">
        <f>SUM(F4:F8)</f>
        <v>78</v>
      </c>
      <c r="G9" s="92">
        <f>SUM(G4:G8)</f>
        <v>534.78600000000006</v>
      </c>
      <c r="H9" s="92">
        <f>SUM(H4:H8)</f>
        <v>20.481999999999999</v>
      </c>
      <c r="I9" s="92">
        <f>SUM(I4:I8)</f>
        <v>19.212500000000002</v>
      </c>
      <c r="J9" s="93">
        <f>SUM(J4:J8)</f>
        <v>70.576000000000008</v>
      </c>
    </row>
    <row r="10" spans="1:10" ht="15.6" customHeight="1" x14ac:dyDescent="0.25">
      <c r="A10" s="94"/>
      <c r="B10" s="18" t="s">
        <v>14</v>
      </c>
      <c r="C10" s="44">
        <v>4</v>
      </c>
      <c r="D10" s="45" t="s">
        <v>51</v>
      </c>
      <c r="E10" s="19" t="s">
        <v>56</v>
      </c>
      <c r="F10" s="26">
        <f>62.12*0.35</f>
        <v>21.741999999999997</v>
      </c>
      <c r="G10" s="47">
        <f>14*0.35</f>
        <v>4.8999999999999995</v>
      </c>
      <c r="H10" s="47">
        <f>0.8*0.35</f>
        <v>0.27999999999999997</v>
      </c>
      <c r="I10" s="47">
        <f>0.1*0.35</f>
        <v>3.4999999999999996E-2</v>
      </c>
      <c r="J10" s="48">
        <f>2.5*0.35</f>
        <v>0.875</v>
      </c>
    </row>
    <row r="11" spans="1:10" ht="30" x14ac:dyDescent="0.25">
      <c r="A11" s="80"/>
      <c r="B11" s="81" t="s">
        <v>11</v>
      </c>
      <c r="C11" s="82">
        <v>72</v>
      </c>
      <c r="D11" s="116" t="s">
        <v>36</v>
      </c>
      <c r="E11" s="25" t="s">
        <v>61</v>
      </c>
      <c r="F11" s="26">
        <f>10.41*180/150+75.72*30/50</f>
        <v>57.923999999999992</v>
      </c>
      <c r="G11" s="53">
        <f>294/200*210</f>
        <v>308.7</v>
      </c>
      <c r="H11" s="53">
        <f>14.86/200*210</f>
        <v>15.602999999999998</v>
      </c>
      <c r="I11" s="53">
        <f>16.58/200*210</f>
        <v>17.408999999999999</v>
      </c>
      <c r="J11" s="54">
        <f>22.8/200*210</f>
        <v>23.94</v>
      </c>
    </row>
    <row r="12" spans="1:10" ht="15.75" x14ac:dyDescent="0.25">
      <c r="A12" s="80"/>
      <c r="B12" s="81" t="s">
        <v>24</v>
      </c>
      <c r="C12" s="50">
        <v>30</v>
      </c>
      <c r="D12" s="51" t="s">
        <v>48</v>
      </c>
      <c r="E12" s="52">
        <v>200</v>
      </c>
      <c r="F12" s="26">
        <v>3.85</v>
      </c>
      <c r="G12" s="53">
        <v>43</v>
      </c>
      <c r="H12" s="53">
        <v>0.06</v>
      </c>
      <c r="I12" s="53">
        <v>0.01</v>
      </c>
      <c r="J12" s="54">
        <v>10.220000000000001</v>
      </c>
    </row>
    <row r="13" spans="1:10" ht="15.75" x14ac:dyDescent="0.25">
      <c r="A13" s="80"/>
      <c r="B13" s="81" t="s">
        <v>43</v>
      </c>
      <c r="C13" s="23" t="s">
        <v>21</v>
      </c>
      <c r="D13" s="24" t="s">
        <v>62</v>
      </c>
      <c r="E13" s="52">
        <v>40</v>
      </c>
      <c r="F13" s="26">
        <f>225.6*0.04*1.33</f>
        <v>12.00192</v>
      </c>
      <c r="G13" s="27">
        <f>190.76/60*21</f>
        <v>66.765999999999991</v>
      </c>
      <c r="H13" s="27">
        <f>3.22/60*21</f>
        <v>1.127</v>
      </c>
      <c r="I13" s="27">
        <f>4.2/60*21</f>
        <v>1.4700000000000002</v>
      </c>
      <c r="J13" s="28">
        <f>35.02/60*21</f>
        <v>12.257</v>
      </c>
    </row>
    <row r="14" spans="1:10" ht="15.75" x14ac:dyDescent="0.25">
      <c r="A14" s="80"/>
      <c r="B14" s="81" t="s">
        <v>18</v>
      </c>
      <c r="C14" s="82" t="s">
        <v>21</v>
      </c>
      <c r="D14" s="83" t="s">
        <v>25</v>
      </c>
      <c r="E14" s="84">
        <v>30</v>
      </c>
      <c r="F14" s="85">
        <f>89.76*0.03</f>
        <v>2.6928000000000001</v>
      </c>
      <c r="G14" s="71">
        <f>40*30/20</f>
        <v>60</v>
      </c>
      <c r="H14" s="71">
        <f>0.98*30/20</f>
        <v>1.47</v>
      </c>
      <c r="I14" s="71">
        <f>0.2*30/20</f>
        <v>0.3</v>
      </c>
      <c r="J14" s="72">
        <f>8.95*30/20</f>
        <v>13.425000000000001</v>
      </c>
    </row>
    <row r="15" spans="1:10" ht="15.75" x14ac:dyDescent="0.25">
      <c r="A15" s="80"/>
      <c r="B15" s="81" t="s">
        <v>17</v>
      </c>
      <c r="C15" s="82" t="s">
        <v>21</v>
      </c>
      <c r="D15" s="83" t="s">
        <v>22</v>
      </c>
      <c r="E15" s="84">
        <v>30</v>
      </c>
      <c r="F15" s="85">
        <v>1.79</v>
      </c>
      <c r="G15" s="27">
        <f>41.6*30/20</f>
        <v>62.4</v>
      </c>
      <c r="H15" s="27">
        <f>1.6*30/20</f>
        <v>2.4</v>
      </c>
      <c r="I15" s="27">
        <f>0.03*30/20</f>
        <v>4.4999999999999998E-2</v>
      </c>
      <c r="J15" s="28">
        <f>8.02*30/20</f>
        <v>12.03</v>
      </c>
    </row>
    <row r="16" spans="1:10" ht="16.5" thickBot="1" x14ac:dyDescent="0.3">
      <c r="A16" s="86"/>
      <c r="B16" s="87"/>
      <c r="C16" s="88"/>
      <c r="D16" s="89"/>
      <c r="E16" s="90"/>
      <c r="F16" s="95">
        <f>SUM(F10:F15)</f>
        <v>100.00072</v>
      </c>
      <c r="G16" s="92">
        <f>SUM(G10:G15)</f>
        <v>545.76599999999996</v>
      </c>
      <c r="H16" s="92">
        <f>SUM(H10:H15)</f>
        <v>20.939999999999994</v>
      </c>
      <c r="I16" s="92">
        <f>SUM(I10:I15)</f>
        <v>19.269000000000002</v>
      </c>
      <c r="J16" s="93">
        <f>SUM(J10:J15)</f>
        <v>72.747</v>
      </c>
    </row>
    <row r="17" spans="1:10" ht="15.75" x14ac:dyDescent="0.25">
      <c r="A17" s="109"/>
      <c r="B17" s="18" t="s">
        <v>14</v>
      </c>
      <c r="C17" s="105">
        <v>4</v>
      </c>
      <c r="D17" s="106" t="s">
        <v>51</v>
      </c>
      <c r="E17" s="107" t="s">
        <v>53</v>
      </c>
      <c r="F17" s="26">
        <f>62.12*0.4</f>
        <v>24.847999999999999</v>
      </c>
      <c r="G17" s="47">
        <f>14*0.4</f>
        <v>5.6000000000000005</v>
      </c>
      <c r="H17" s="47">
        <f>0.8*0.4</f>
        <v>0.32000000000000006</v>
      </c>
      <c r="I17" s="47">
        <f>0.1*0.4</f>
        <v>4.0000000000000008E-2</v>
      </c>
      <c r="J17" s="48">
        <f>2.5*0.4</f>
        <v>1</v>
      </c>
    </row>
    <row r="18" spans="1:10" ht="45" x14ac:dyDescent="0.25">
      <c r="A18" s="80"/>
      <c r="B18" s="81" t="s">
        <v>42</v>
      </c>
      <c r="C18" s="82">
        <v>33</v>
      </c>
      <c r="D18" s="64" t="s">
        <v>52</v>
      </c>
      <c r="E18" s="65" t="s">
        <v>64</v>
      </c>
      <c r="F18" s="108">
        <f>14.37*245/250+2.45+9.8*0.5</f>
        <v>21.432600000000001</v>
      </c>
      <c r="G18" s="27">
        <v>108.75</v>
      </c>
      <c r="H18" s="27">
        <v>1.72</v>
      </c>
      <c r="I18" s="27">
        <v>6.18</v>
      </c>
      <c r="J18" s="28">
        <v>11.66</v>
      </c>
    </row>
    <row r="19" spans="1:10" ht="30" x14ac:dyDescent="0.25">
      <c r="A19" s="80"/>
      <c r="B19" s="81" t="s">
        <v>11</v>
      </c>
      <c r="C19" s="82">
        <v>72</v>
      </c>
      <c r="D19" s="116" t="s">
        <v>36</v>
      </c>
      <c r="E19" s="25" t="s">
        <v>61</v>
      </c>
      <c r="F19" s="26">
        <f>10.41*180/150+75.72*30/50</f>
        <v>57.923999999999992</v>
      </c>
      <c r="G19" s="53">
        <f>294/200*210</f>
        <v>308.7</v>
      </c>
      <c r="H19" s="53">
        <f>14.86/200*210</f>
        <v>15.602999999999998</v>
      </c>
      <c r="I19" s="53">
        <f>16.58/200*210</f>
        <v>17.408999999999999</v>
      </c>
      <c r="J19" s="54">
        <f>22.8/200*210</f>
        <v>23.94</v>
      </c>
    </row>
    <row r="20" spans="1:10" ht="15.75" x14ac:dyDescent="0.25">
      <c r="A20" s="80"/>
      <c r="B20" s="81" t="s">
        <v>24</v>
      </c>
      <c r="C20" s="50">
        <v>30</v>
      </c>
      <c r="D20" s="51" t="s">
        <v>48</v>
      </c>
      <c r="E20" s="52">
        <v>200</v>
      </c>
      <c r="F20" s="26">
        <v>3.85</v>
      </c>
      <c r="G20" s="53">
        <v>43</v>
      </c>
      <c r="H20" s="53">
        <v>0.06</v>
      </c>
      <c r="I20" s="53">
        <v>0.01</v>
      </c>
      <c r="J20" s="54">
        <v>10.220000000000001</v>
      </c>
    </row>
    <row r="21" spans="1:10" ht="15.75" x14ac:dyDescent="0.25">
      <c r="A21" s="80"/>
      <c r="B21" s="81" t="s">
        <v>43</v>
      </c>
      <c r="C21" s="23" t="s">
        <v>21</v>
      </c>
      <c r="D21" s="24" t="s">
        <v>62</v>
      </c>
      <c r="E21" s="52">
        <v>40</v>
      </c>
      <c r="F21" s="26">
        <f>225.6*0.04*1.33</f>
        <v>12.00192</v>
      </c>
      <c r="G21" s="27">
        <f>190.76/60*21</f>
        <v>66.765999999999991</v>
      </c>
      <c r="H21" s="27">
        <f>3.22/60*21</f>
        <v>1.127</v>
      </c>
      <c r="I21" s="27">
        <f>4.2/60*21</f>
        <v>1.4700000000000002</v>
      </c>
      <c r="J21" s="28">
        <f>35.02/60*21</f>
        <v>12.257</v>
      </c>
    </row>
    <row r="22" spans="1:10" ht="15.75" x14ac:dyDescent="0.25">
      <c r="A22" s="80"/>
      <c r="B22" s="81" t="s">
        <v>18</v>
      </c>
      <c r="C22" s="82" t="s">
        <v>21</v>
      </c>
      <c r="D22" s="83" t="s">
        <v>25</v>
      </c>
      <c r="E22" s="84">
        <v>33</v>
      </c>
      <c r="F22" s="85">
        <f>89.76*0.033</f>
        <v>2.9620800000000003</v>
      </c>
      <c r="G22" s="71">
        <f>40*33/20</f>
        <v>66</v>
      </c>
      <c r="H22" s="71">
        <f>0.98*33/20</f>
        <v>1.6169999999999998</v>
      </c>
      <c r="I22" s="71">
        <f>0.2*33/20</f>
        <v>0.33</v>
      </c>
      <c r="J22" s="72">
        <f>8.95*33/20</f>
        <v>14.767499999999998</v>
      </c>
    </row>
    <row r="23" spans="1:10" ht="15.75" x14ac:dyDescent="0.25">
      <c r="A23" s="80"/>
      <c r="B23" s="81" t="s">
        <v>17</v>
      </c>
      <c r="C23" s="82" t="s">
        <v>21</v>
      </c>
      <c r="D23" s="83" t="s">
        <v>22</v>
      </c>
      <c r="E23" s="84">
        <v>33</v>
      </c>
      <c r="F23" s="85">
        <v>1.98</v>
      </c>
      <c r="G23" s="27">
        <f>41.6*33/20</f>
        <v>68.64</v>
      </c>
      <c r="H23" s="27">
        <f>1.6*33/20</f>
        <v>2.64</v>
      </c>
      <c r="I23" s="27">
        <f>0.03*33/20</f>
        <v>4.9500000000000002E-2</v>
      </c>
      <c r="J23" s="28">
        <f>8.02*33/20</f>
        <v>13.232999999999999</v>
      </c>
    </row>
    <row r="24" spans="1:10" ht="16.5" thickBot="1" x14ac:dyDescent="0.3">
      <c r="A24" s="96"/>
      <c r="B24" s="97"/>
      <c r="C24" s="97"/>
      <c r="D24" s="97"/>
      <c r="E24" s="98"/>
      <c r="F24" s="99">
        <f>SUM(F17:F23)</f>
        <v>124.9986</v>
      </c>
      <c r="G24" s="92">
        <f>SUM(G17:G23)</f>
        <v>667.4559999999999</v>
      </c>
      <c r="H24" s="92">
        <f>SUM(H18:H23)</f>
        <v>22.766999999999996</v>
      </c>
      <c r="I24" s="92">
        <f>SUM(I18:I23)</f>
        <v>25.448499999999996</v>
      </c>
      <c r="J24" s="93">
        <f>SUM(J18:J23)</f>
        <v>86.077500000000001</v>
      </c>
    </row>
    <row r="25" spans="1:10" x14ac:dyDescent="0.25">
      <c r="A25"/>
      <c r="B25"/>
      <c r="C25"/>
      <c r="D25"/>
      <c r="E25"/>
      <c r="F25"/>
      <c r="G25"/>
      <c r="H25"/>
      <c r="I25"/>
      <c r="J25"/>
    </row>
    <row r="26" spans="1:10" customFormat="1" ht="15.6" customHeight="1" x14ac:dyDescent="0.25">
      <c r="A26" s="7"/>
      <c r="B26" s="7"/>
      <c r="C26" s="7"/>
      <c r="D26" s="7"/>
      <c r="E26" s="8"/>
      <c r="F26" s="8"/>
      <c r="G26" s="7"/>
      <c r="H26" s="7"/>
      <c r="I26" s="7"/>
      <c r="J26" s="7"/>
    </row>
    <row r="27" spans="1:10" customFormat="1" ht="15.75" x14ac:dyDescent="0.25">
      <c r="A27" s="16" t="s">
        <v>44</v>
      </c>
      <c r="B27" s="16"/>
      <c r="C27" s="16"/>
      <c r="D27" s="16"/>
      <c r="E27" s="8"/>
      <c r="F27" s="8"/>
      <c r="G27" s="7"/>
      <c r="H27" s="7"/>
      <c r="I27" s="7"/>
      <c r="J27" s="7"/>
    </row>
    <row r="28" spans="1:10" customFormat="1" ht="15.75" x14ac:dyDescent="0.25">
      <c r="A28" s="16" t="s">
        <v>45</v>
      </c>
      <c r="B28" s="16"/>
      <c r="C28" s="16"/>
      <c r="D28" s="16"/>
      <c r="E28" s="8"/>
      <c r="F28" s="8"/>
      <c r="G28" s="7"/>
      <c r="H28" s="7"/>
      <c r="I28" s="7"/>
      <c r="J28" s="7"/>
    </row>
    <row r="29" spans="1:10" customFormat="1" x14ac:dyDescent="0.25">
      <c r="A29" s="7"/>
      <c r="B29" s="7"/>
      <c r="C29" s="7"/>
      <c r="D29" s="7"/>
      <c r="E29" s="8"/>
      <c r="F29" s="8"/>
      <c r="G29" s="7"/>
      <c r="H29" s="7"/>
      <c r="I29" s="7"/>
      <c r="J29" s="7"/>
    </row>
    <row r="30" spans="1:10" customFormat="1" x14ac:dyDescent="0.25">
      <c r="A30" s="7"/>
      <c r="B30" s="7"/>
      <c r="C30" s="7"/>
      <c r="D30" s="7"/>
      <c r="E30" s="8"/>
      <c r="F30" s="8"/>
      <c r="G30" s="7"/>
      <c r="H30" s="7"/>
      <c r="I30" s="7"/>
      <c r="J30" s="7"/>
    </row>
  </sheetData>
  <mergeCells count="3">
    <mergeCell ref="B1:D1"/>
    <mergeCell ref="A4:A5"/>
    <mergeCell ref="G1:H1"/>
  </mergeCells>
  <pageMargins left="0.11811023622047245" right="0.11811023622047245" top="0.15748031496062992" bottom="0.15748031496062992" header="0.11811023622047245" footer="0.11811023622047245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бесплатно</vt:lpstr>
      <vt:lpstr>платно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maria</cp:lastModifiedBy>
  <cp:lastPrinted>2022-11-10T02:31:05Z</cp:lastPrinted>
  <dcterms:created xsi:type="dcterms:W3CDTF">2015-06-05T18:19:34Z</dcterms:created>
  <dcterms:modified xsi:type="dcterms:W3CDTF">2023-04-20T09:47:39Z</dcterms:modified>
</cp:coreProperties>
</file>