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775C7C37-C34A-4312-8430-745EBFDD581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3" i="2"/>
  <c r="I23" i="2"/>
  <c r="H23" i="2"/>
  <c r="G23" i="2"/>
  <c r="F23" i="2"/>
  <c r="F18" i="2"/>
  <c r="F19" i="2"/>
  <c r="F33" i="1"/>
  <c r="F38" i="1"/>
  <c r="F37" i="1"/>
  <c r="F34" i="1"/>
  <c r="F35" i="1"/>
  <c r="F15" i="1"/>
  <c r="F16" i="1"/>
  <c r="F20" i="2"/>
  <c r="J16" i="2"/>
  <c r="I16" i="2"/>
  <c r="H16" i="2"/>
  <c r="G16" i="2"/>
  <c r="J15" i="2"/>
  <c r="I15" i="2"/>
  <c r="H15" i="2"/>
  <c r="G15" i="2"/>
  <c r="F15" i="2"/>
  <c r="F12" i="2"/>
  <c r="F5" i="2"/>
  <c r="F11" i="2"/>
  <c r="J9" i="2"/>
  <c r="I9" i="2"/>
  <c r="H9" i="2"/>
  <c r="G9" i="2"/>
  <c r="J8" i="2"/>
  <c r="I8" i="2"/>
  <c r="H8" i="2"/>
  <c r="G8" i="2"/>
  <c r="F8" i="2"/>
  <c r="F4" i="2"/>
  <c r="J38" i="1"/>
  <c r="I38" i="1"/>
  <c r="H38" i="1"/>
  <c r="G38" i="1"/>
  <c r="J37" i="1"/>
  <c r="I37" i="1"/>
  <c r="H37" i="1"/>
  <c r="G37" i="1"/>
  <c r="F23" i="1"/>
  <c r="F24" i="1"/>
  <c r="F12" i="1"/>
  <c r="J9" i="1"/>
  <c r="I9" i="1"/>
  <c r="H9" i="1"/>
  <c r="G9" i="1"/>
  <c r="J8" i="1"/>
  <c r="I8" i="1"/>
  <c r="H8" i="1"/>
  <c r="G8" i="1"/>
  <c r="F9" i="1"/>
  <c r="F8" i="1"/>
  <c r="F4" i="1"/>
  <c r="F5" i="1"/>
  <c r="J4" i="2"/>
  <c r="I4" i="2"/>
  <c r="H4" i="2"/>
  <c r="G4" i="2"/>
  <c r="G10" i="2" l="1"/>
  <c r="F27" i="1"/>
  <c r="F28" i="1"/>
  <c r="F19" i="1"/>
  <c r="F18" i="1"/>
  <c r="J33" i="1"/>
  <c r="I33" i="1"/>
  <c r="H33" i="1"/>
  <c r="G33" i="1"/>
  <c r="J23" i="1"/>
  <c r="I23" i="1"/>
  <c r="H23" i="1"/>
  <c r="G23" i="1"/>
  <c r="J31" i="1"/>
  <c r="I31" i="1"/>
  <c r="H31" i="1"/>
  <c r="G31" i="1"/>
  <c r="J18" i="1" l="1"/>
  <c r="I18" i="1"/>
  <c r="H18" i="1"/>
  <c r="G18" i="1"/>
  <c r="J19" i="1"/>
  <c r="I19" i="1"/>
  <c r="H19" i="1"/>
  <c r="G19" i="1"/>
  <c r="J10" i="2"/>
  <c r="I10" i="2"/>
  <c r="H10" i="2"/>
  <c r="F14" i="1"/>
  <c r="F24" i="2"/>
  <c r="F25" i="2" s="1"/>
  <c r="J18" i="2"/>
  <c r="I18" i="2"/>
  <c r="H18" i="2"/>
  <c r="G18" i="2"/>
  <c r="J11" i="2"/>
  <c r="I11" i="2"/>
  <c r="H11" i="2"/>
  <c r="G11" i="2"/>
  <c r="G17" i="2" s="1"/>
  <c r="F14" i="2"/>
  <c r="F17" i="2" s="1"/>
  <c r="F7" i="2"/>
  <c r="F10" i="2" s="1"/>
  <c r="J28" i="1"/>
  <c r="J29" i="1" s="1"/>
  <c r="J27" i="1"/>
  <c r="I28" i="1"/>
  <c r="I27" i="1"/>
  <c r="H28" i="1"/>
  <c r="H27" i="1"/>
  <c r="G28" i="1"/>
  <c r="G27" i="1"/>
  <c r="G29" i="1"/>
  <c r="I29" i="1"/>
  <c r="J4" i="1"/>
  <c r="I4" i="1"/>
  <c r="H4" i="1"/>
  <c r="G4" i="1"/>
  <c r="G10" i="1" s="1"/>
  <c r="F31" i="1"/>
  <c r="H17" i="2"/>
  <c r="H29" i="1" l="1"/>
  <c r="G20" i="1"/>
  <c r="F26" i="1" l="1"/>
  <c r="F7" i="1"/>
  <c r="G25" i="2" l="1"/>
  <c r="J39" i="1"/>
  <c r="H39" i="1"/>
  <c r="G39" i="1"/>
  <c r="J32" i="1"/>
  <c r="I32" i="1"/>
  <c r="H32" i="1"/>
  <c r="G32" i="1"/>
  <c r="J12" i="1"/>
  <c r="I12" i="1"/>
  <c r="H12" i="1"/>
  <c r="G12" i="1"/>
  <c r="G13" i="1" s="1"/>
  <c r="J25" i="2" l="1"/>
  <c r="H25" i="2"/>
  <c r="I25" i="2"/>
  <c r="I39" i="1"/>
  <c r="J17" i="2"/>
  <c r="I17" i="2"/>
  <c r="H10" i="1" l="1"/>
  <c r="J10" i="1" l="1"/>
  <c r="I10" i="1" l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<sst xmlns="http://schemas.openxmlformats.org/spreadsheetml/2006/main" count="186" uniqueCount="60">
  <si>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</si>
  <si>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</si>
  <si>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</si>
  <si>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</si>
  <si>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</si>
  <si>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</si>
  <si>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</si>
  <si>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</si>
  <si>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</si>
  <si>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</si>
  <si>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</si>
  <si>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</si>
  <si>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</si>
  <si>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</si>
  <si>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</si>
  <si>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</si>
  <si>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</si>
  <si>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</si>
  <si>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</si>
  <si>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</si>
  <si>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</si>
  <si>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</si>
  <si>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</si>
  <si>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</si>
  <si>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</si>
  <si>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</si>
  <si>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</si>
  <si>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</si>
  <si>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</si>
  <si>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</si>
  <si>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</si>
  <si>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</si>
  <si>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</si>
  <si>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</si>
  <si>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</si>
  <si>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</si>
  <si>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</si>
  <si>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</si>
  <si>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</si>
  <si>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</si>
  <si>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</si>
  <si>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</si>
  <si>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</si>
  <si>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</si>
  <si>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Кефир</t>
  </si>
  <si>
    <t>220</t>
  </si>
  <si>
    <t>38</t>
  </si>
  <si>
    <t>Кукуруза отварная</t>
  </si>
  <si>
    <t>Компот из кураги</t>
  </si>
  <si>
    <t>60</t>
  </si>
  <si>
    <t>19</t>
  </si>
  <si>
    <t>30</t>
  </si>
  <si>
    <t>День 11</t>
  </si>
  <si>
    <t>245/5/5</t>
  </si>
  <si>
    <t>добавка</t>
  </si>
  <si>
    <t xml:space="preserve">Борщ с капустой и картофелем со сметаной </t>
  </si>
  <si>
    <t>250/5</t>
  </si>
  <si>
    <t>40</t>
  </si>
  <si>
    <t>80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</si>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</sst>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2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5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2" fontId="0" fillId="0" borderId="21" xfId="0" applyNumberFormat="1" applyBorder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/>
    </xf>
    <xf numFmtId="2" fontId="0" fillId="0" borderId="22" xfId="0" applyNumberFormat="1" applyBorder="1" applyProtection="1">
      <protection locked="0"/>
    </xf>
    <xf numFmtId="0" fontId="3" fillId="0" borderId="23" xfId="0" applyFont="1" applyBorder="1"/>
    <xf numFmtId="0" fontId="4" fillId="0" borderId="23" xfId="0" applyFont="1" applyBorder="1"/>
    <xf numFmtId="0" fontId="3" fillId="0" borderId="23" xfId="0" applyFont="1" applyBorder="1" applyAlignment="1">
      <alignment horizont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0" fontId="0" fillId="0" borderId="3" xfId="0" applyBorder="1"/>
    <xf numFmtId="0" fontId="3" fillId="0" borderId="27" xfId="0" applyFont="1" applyBorder="1"/>
    <xf numFmtId="0" fontId="3" fillId="0" borderId="2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7" xfId="0" applyBorder="1"/>
    <xf numFmtId="0" fontId="0" fillId="0" borderId="34" xfId="0" applyBorder="1" applyProtection="1">
      <protection locked="0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/>
    <xf numFmtId="0" fontId="0" fillId="0" borderId="28" xfId="0" applyBorder="1"/>
    <xf numFmtId="0" fontId="0" fillId="0" borderId="38" xfId="0" applyBorder="1"/>
    <xf numFmtId="0" fontId="0" fillId="0" borderId="26" xfId="0" applyBorder="1" applyAlignment="1">
      <alignment horizontal="center" vertical="center"/>
    </xf>
    <xf numFmtId="0" fontId="3" fillId="0" borderId="39" xfId="0" applyFont="1" applyBorder="1"/>
    <xf numFmtId="0" fontId="0" fillId="0" borderId="3" xfId="0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3" fillId="0" borderId="25" xfId="0" applyFont="1" applyBorder="1"/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zoomScaleNormal="100" workbookViewId="0">
      <selection activeCell="I1" sqref="I1:I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13" customWidth="1"/>
    <col min="6" max="6" width="8.28515625" style="13" bestFit="1" customWidth="1"/>
    <col min="7" max="7" width="7.7109375" customWidth="1"/>
    <col min="8" max="8" width="6.140625" bestFit="1" customWidth="1"/>
    <col min="9" max="9" width="10" customWidth="1"/>
    <col min="10" max="10" width="8.5703125" customWidth="1"/>
  </cols>
  <sheetData>
    <row r="1" spans="1:10" ht="28.9" customHeight="1" x14ac:dyDescent="0.25">
      <c r="A1" t="s">
        <v>0</v>
      </c>
      <c r="B1" s="106" t="s">
        <v>59</v>
      </c>
      <c r="C1" s="107"/>
      <c r="D1" s="108"/>
      <c r="E1" s="13" t="s">
        <v>25</v>
      </c>
      <c r="F1" s="12"/>
      <c r="G1" s="109" t="s">
        <v>52</v>
      </c>
      <c r="H1" s="110"/>
      <c r="I1" s="11">
        <v>45023</v>
      </c>
    </row>
    <row r="2" spans="1:10" ht="15.75" thickBot="1" x14ac:dyDescent="0.3">
      <c r="B2" s="1" t="s">
        <v>24</v>
      </c>
    </row>
    <row r="3" spans="1:10" s="18" customFormat="1" ht="30.75" thickBot="1" x14ac:dyDescent="0.3">
      <c r="A3" s="14" t="s">
        <v>1</v>
      </c>
      <c r="B3" s="15" t="s">
        <v>2</v>
      </c>
      <c r="C3" s="15" t="s">
        <v>17</v>
      </c>
      <c r="D3" s="15" t="s">
        <v>3</v>
      </c>
      <c r="E3" s="30" t="s">
        <v>18</v>
      </c>
      <c r="F3" s="30" t="s">
        <v>4</v>
      </c>
      <c r="G3" s="16" t="s">
        <v>5</v>
      </c>
      <c r="H3" s="15" t="s">
        <v>6</v>
      </c>
      <c r="I3" s="15" t="s">
        <v>7</v>
      </c>
      <c r="J3" s="17" t="s">
        <v>8</v>
      </c>
    </row>
    <row r="4" spans="1:10" s="18" customFormat="1" ht="15.75" x14ac:dyDescent="0.25">
      <c r="A4" s="93"/>
      <c r="B4" s="92" t="s">
        <v>54</v>
      </c>
      <c r="C4" s="61">
        <v>1</v>
      </c>
      <c r="D4" s="62" t="s">
        <v>47</v>
      </c>
      <c r="E4" s="30">
        <v>60</v>
      </c>
      <c r="F4" s="63">
        <f>25.65*60/75</f>
        <v>20.52</v>
      </c>
      <c r="G4" s="57">
        <f>30*75/75</f>
        <v>30</v>
      </c>
      <c r="H4" s="58">
        <f>2.33*75/75</f>
        <v>2.33</v>
      </c>
      <c r="I4" s="58">
        <f>0.15*75/75</f>
        <v>0.15</v>
      </c>
      <c r="J4" s="59">
        <f>4.88*75/75</f>
        <v>4.88</v>
      </c>
    </row>
    <row r="5" spans="1:10" ht="15.75" x14ac:dyDescent="0.25">
      <c r="A5" s="94" t="s">
        <v>9</v>
      </c>
      <c r="B5" s="81" t="s">
        <v>10</v>
      </c>
      <c r="C5" s="37">
        <v>32</v>
      </c>
      <c r="D5" s="38" t="s">
        <v>37</v>
      </c>
      <c r="E5" s="33" t="s">
        <v>32</v>
      </c>
      <c r="F5" s="47">
        <f>25.58*25/32+7.58*125/118</f>
        <v>28.014036016949152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6.5" thickBot="1" x14ac:dyDescent="0.3">
      <c r="A6" s="86"/>
      <c r="B6" s="82" t="s">
        <v>11</v>
      </c>
      <c r="C6" s="64">
        <v>57</v>
      </c>
      <c r="D6" s="65" t="s">
        <v>38</v>
      </c>
      <c r="E6" s="66" t="s">
        <v>29</v>
      </c>
      <c r="F6" s="67">
        <v>1.21</v>
      </c>
      <c r="G6" s="10">
        <v>41</v>
      </c>
      <c r="H6" s="10">
        <v>0</v>
      </c>
      <c r="I6" s="10">
        <v>0</v>
      </c>
      <c r="J6" s="25">
        <v>10.01</v>
      </c>
    </row>
    <row r="7" spans="1:10" ht="15.75" x14ac:dyDescent="0.25">
      <c r="A7" s="86"/>
      <c r="B7" s="92" t="s">
        <v>54</v>
      </c>
      <c r="C7" s="64" t="s">
        <v>19</v>
      </c>
      <c r="D7" s="65" t="s">
        <v>36</v>
      </c>
      <c r="E7" s="66" t="s">
        <v>46</v>
      </c>
      <c r="F7" s="67">
        <f>150*0.038</f>
        <v>5.7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6"/>
      <c r="B8" s="81" t="s">
        <v>15</v>
      </c>
      <c r="C8" s="37" t="s">
        <v>19</v>
      </c>
      <c r="D8" s="38" t="s">
        <v>20</v>
      </c>
      <c r="E8" s="32">
        <v>26</v>
      </c>
      <c r="F8" s="47">
        <f>50.71*0.026</f>
        <v>1.31846</v>
      </c>
      <c r="G8" s="6">
        <f>40*26/20</f>
        <v>52</v>
      </c>
      <c r="H8" s="6">
        <f>0.98*26/20</f>
        <v>1.274</v>
      </c>
      <c r="I8" s="6">
        <f>0.2*26/20</f>
        <v>0.26</v>
      </c>
      <c r="J8" s="7">
        <f>8.95*26/20</f>
        <v>11.635</v>
      </c>
    </row>
    <row r="9" spans="1:10" ht="15.75" x14ac:dyDescent="0.25">
      <c r="A9" s="86"/>
      <c r="B9" s="83" t="s">
        <v>16</v>
      </c>
      <c r="C9" s="37" t="s">
        <v>19</v>
      </c>
      <c r="D9" s="38" t="s">
        <v>34</v>
      </c>
      <c r="E9" s="32">
        <v>26</v>
      </c>
      <c r="F9" s="47">
        <f>74.8*0.026</f>
        <v>1.9447999999999999</v>
      </c>
      <c r="G9" s="6">
        <f>41.6*26/20</f>
        <v>54.080000000000005</v>
      </c>
      <c r="H9" s="6">
        <f>1.6*26/20</f>
        <v>2.08</v>
      </c>
      <c r="I9" s="6">
        <f>0.03*26/20</f>
        <v>3.9E-2</v>
      </c>
      <c r="J9" s="7">
        <f>8.02*26/20</f>
        <v>10.425999999999998</v>
      </c>
    </row>
    <row r="10" spans="1:10" ht="16.5" thickBot="1" x14ac:dyDescent="0.3">
      <c r="A10" s="87"/>
      <c r="B10" s="84"/>
      <c r="C10" s="68"/>
      <c r="D10" s="69"/>
      <c r="E10" s="70"/>
      <c r="F10" s="71">
        <v>58.52</v>
      </c>
      <c r="G10" s="46">
        <f>SUM(G4:G9)</f>
        <v>634.82000000000005</v>
      </c>
      <c r="H10" s="46">
        <f>SUM(H5:H9)</f>
        <v>20.724000000000004</v>
      </c>
      <c r="I10" s="46">
        <f>SUM(I5:I9)</f>
        <v>23.319000000000006</v>
      </c>
      <c r="J10" s="53">
        <f>SUM(J5:J9)</f>
        <v>70.620999999999995</v>
      </c>
    </row>
    <row r="11" spans="1:10" ht="15.75" x14ac:dyDescent="0.25">
      <c r="A11" s="91" t="s">
        <v>21</v>
      </c>
      <c r="B11" s="88"/>
      <c r="C11" s="39">
        <v>63</v>
      </c>
      <c r="D11" s="40" t="s">
        <v>44</v>
      </c>
      <c r="E11" s="72">
        <v>200</v>
      </c>
      <c r="F11" s="50">
        <v>19.420000000000002</v>
      </c>
      <c r="G11" s="3">
        <v>106</v>
      </c>
      <c r="H11" s="3">
        <v>5.8</v>
      </c>
      <c r="I11" s="3">
        <v>5</v>
      </c>
      <c r="J11" s="4">
        <v>80</v>
      </c>
    </row>
    <row r="12" spans="1:10" ht="15.75" x14ac:dyDescent="0.25">
      <c r="A12" s="86"/>
      <c r="B12" s="89"/>
      <c r="C12" s="73">
        <v>44</v>
      </c>
      <c r="D12" s="74" t="s">
        <v>39</v>
      </c>
      <c r="E12" s="75">
        <v>115</v>
      </c>
      <c r="F12" s="67">
        <f>22.13*115/100</f>
        <v>25.449499999999997</v>
      </c>
      <c r="G12" s="10">
        <f>356.67*115/100</f>
        <v>410.1705</v>
      </c>
      <c r="H12" s="10">
        <f>10.5*115/100</f>
        <v>12.074999999999999</v>
      </c>
      <c r="I12" s="10">
        <f>10.33*115/100</f>
        <v>11.8795</v>
      </c>
      <c r="J12" s="25">
        <f>55.33*115/100</f>
        <v>63.6295</v>
      </c>
    </row>
    <row r="13" spans="1:10" ht="16.5" thickBot="1" x14ac:dyDescent="0.3">
      <c r="A13" s="87"/>
      <c r="B13" s="90"/>
      <c r="C13" s="76"/>
      <c r="D13" s="77"/>
      <c r="E13" s="78"/>
      <c r="F13" s="79">
        <v>43.9</v>
      </c>
      <c r="G13" s="48">
        <f>SUM(G11:G12)</f>
        <v>516.17049999999995</v>
      </c>
      <c r="H13" s="48">
        <f>SUM(H11:H12)</f>
        <v>17.875</v>
      </c>
      <c r="I13" s="48">
        <f>SUM(I11:I12)</f>
        <v>16.8795</v>
      </c>
      <c r="J13" s="49">
        <f>SUM(J11:J12)</f>
        <v>143.62950000000001</v>
      </c>
    </row>
    <row r="14" spans="1:10" ht="15.75" x14ac:dyDescent="0.25">
      <c r="A14" s="91" t="s">
        <v>12</v>
      </c>
      <c r="B14" s="88" t="s">
        <v>40</v>
      </c>
      <c r="C14" s="39">
        <v>4</v>
      </c>
      <c r="D14" s="40" t="s">
        <v>41</v>
      </c>
      <c r="E14" s="31" t="s">
        <v>49</v>
      </c>
      <c r="F14" s="50">
        <f>28.02*60/60</f>
        <v>28.02</v>
      </c>
      <c r="G14" s="3">
        <v>8.4</v>
      </c>
      <c r="H14" s="3">
        <v>0.48</v>
      </c>
      <c r="I14" s="3">
        <v>0.06</v>
      </c>
      <c r="J14" s="4">
        <v>1.5</v>
      </c>
    </row>
    <row r="15" spans="1:10" ht="30" x14ac:dyDescent="0.25">
      <c r="A15" s="86"/>
      <c r="B15" s="81" t="s">
        <v>13</v>
      </c>
      <c r="C15" s="41">
        <v>22</v>
      </c>
      <c r="D15" s="42" t="s">
        <v>55</v>
      </c>
      <c r="E15" s="33" t="s">
        <v>56</v>
      </c>
      <c r="F15" s="47">
        <f>10.65*250/250+1.84</f>
        <v>12.49</v>
      </c>
      <c r="G15" s="6">
        <v>168.75</v>
      </c>
      <c r="H15" s="6">
        <v>1.72</v>
      </c>
      <c r="I15" s="6">
        <v>6.18</v>
      </c>
      <c r="J15" s="7">
        <v>11.66</v>
      </c>
    </row>
    <row r="16" spans="1:10" ht="15.75" x14ac:dyDescent="0.25">
      <c r="A16" s="86"/>
      <c r="B16" s="81" t="s">
        <v>14</v>
      </c>
      <c r="C16" s="41">
        <v>39</v>
      </c>
      <c r="D16" s="42" t="s">
        <v>42</v>
      </c>
      <c r="E16" s="33" t="s">
        <v>45</v>
      </c>
      <c r="F16" s="47">
        <f>17.89*190/180+29.96*30/40</f>
        <v>41.353888888888889</v>
      </c>
      <c r="G16" s="6">
        <v>283</v>
      </c>
      <c r="H16" s="6">
        <v>13.43</v>
      </c>
      <c r="I16" s="6">
        <v>17.52</v>
      </c>
      <c r="J16" s="7">
        <v>16.059999999999999</v>
      </c>
    </row>
    <row r="17" spans="1:10" ht="15.75" x14ac:dyDescent="0.25">
      <c r="A17" s="86"/>
      <c r="B17" s="81" t="s">
        <v>22</v>
      </c>
      <c r="C17" s="41">
        <v>74</v>
      </c>
      <c r="D17" s="42" t="s">
        <v>48</v>
      </c>
      <c r="E17" s="33" t="s">
        <v>29</v>
      </c>
      <c r="F17" s="47">
        <v>11.48</v>
      </c>
      <c r="G17" s="6">
        <v>87</v>
      </c>
      <c r="H17" s="6">
        <v>1.04</v>
      </c>
      <c r="I17" s="6">
        <v>0</v>
      </c>
      <c r="J17" s="7">
        <v>20.98</v>
      </c>
    </row>
    <row r="18" spans="1:10" ht="15.75" x14ac:dyDescent="0.25">
      <c r="A18" s="86"/>
      <c r="B18" s="81" t="s">
        <v>16</v>
      </c>
      <c r="C18" s="41" t="s">
        <v>19</v>
      </c>
      <c r="D18" s="42" t="s">
        <v>23</v>
      </c>
      <c r="E18" s="33" t="s">
        <v>51</v>
      </c>
      <c r="F18" s="47">
        <f>74.8*0.03</f>
        <v>2.2439999999999998</v>
      </c>
      <c r="G18" s="6">
        <f>41.6*30/20</f>
        <v>62.4</v>
      </c>
      <c r="H18" s="6">
        <f>1.6*30/20</f>
        <v>2.4</v>
      </c>
      <c r="I18" s="6">
        <f>0.03*30/20</f>
        <v>4.4999999999999998E-2</v>
      </c>
      <c r="J18" s="7">
        <f>8.02*30/20</f>
        <v>12.03</v>
      </c>
    </row>
    <row r="19" spans="1:10" ht="15.75" x14ac:dyDescent="0.25">
      <c r="A19" s="86"/>
      <c r="B19" s="95" t="s">
        <v>15</v>
      </c>
      <c r="C19" s="43" t="s">
        <v>19</v>
      </c>
      <c r="D19" s="44" t="s">
        <v>20</v>
      </c>
      <c r="E19" s="34" t="s">
        <v>51</v>
      </c>
      <c r="F19" s="51">
        <f>50.71*0.03</f>
        <v>1.5212999999999999</v>
      </c>
      <c r="G19" s="6">
        <f>40*30/20</f>
        <v>60</v>
      </c>
      <c r="H19" s="6">
        <f>0.98*30/20</f>
        <v>1.47</v>
      </c>
      <c r="I19" s="6">
        <f>0.2*30/20</f>
        <v>0.3</v>
      </c>
      <c r="J19" s="7">
        <f>8.95*30/20</f>
        <v>13.425000000000001</v>
      </c>
    </row>
    <row r="20" spans="1:10" ht="16.5" thickBot="1" x14ac:dyDescent="0.3">
      <c r="A20" s="96"/>
      <c r="B20" s="90"/>
      <c r="C20" s="27"/>
      <c r="D20" s="27"/>
      <c r="E20" s="36"/>
      <c r="F20" s="52">
        <v>87.79</v>
      </c>
      <c r="G20" s="28">
        <f>SUM(G14:G19)</f>
        <v>669.55</v>
      </c>
      <c r="H20" s="28">
        <f>SUM(H14:H19)</f>
        <v>20.539999999999996</v>
      </c>
      <c r="I20" s="28">
        <f>SUM(I14:I19)</f>
        <v>24.105</v>
      </c>
      <c r="J20" s="29">
        <f>SUM(J14:J19)</f>
        <v>75.655000000000001</v>
      </c>
    </row>
    <row r="21" spans="1:10" ht="16.5" thickBot="1" x14ac:dyDescent="0.3">
      <c r="B21" s="1" t="s">
        <v>26</v>
      </c>
      <c r="E21" s="35"/>
      <c r="F21" s="35"/>
    </row>
    <row r="22" spans="1:10" ht="30.75" thickBot="1" x14ac:dyDescent="0.3">
      <c r="A22" s="14" t="s">
        <v>1</v>
      </c>
      <c r="B22" s="15" t="s">
        <v>2</v>
      </c>
      <c r="C22" s="15" t="s">
        <v>17</v>
      </c>
      <c r="D22" s="60"/>
      <c r="E22" s="30" t="s">
        <v>18</v>
      </c>
      <c r="F22" s="30" t="s">
        <v>4</v>
      </c>
      <c r="G22" s="16" t="s">
        <v>5</v>
      </c>
      <c r="H22" s="15" t="s">
        <v>6</v>
      </c>
      <c r="I22" s="15" t="s">
        <v>7</v>
      </c>
      <c r="J22" s="17" t="s">
        <v>8</v>
      </c>
    </row>
    <row r="23" spans="1:10" ht="16.5" thickBot="1" x14ac:dyDescent="0.3">
      <c r="A23" s="97"/>
      <c r="B23" s="92" t="s">
        <v>35</v>
      </c>
      <c r="C23" s="61">
        <v>1</v>
      </c>
      <c r="D23" s="62" t="s">
        <v>47</v>
      </c>
      <c r="E23" s="30">
        <v>70</v>
      </c>
      <c r="F23" s="63">
        <f>25.65*70/75</f>
        <v>23.94</v>
      </c>
      <c r="G23" s="57">
        <f>30*80/75</f>
        <v>32</v>
      </c>
      <c r="H23" s="58">
        <f>2.33*80/75</f>
        <v>2.4853333333333336</v>
      </c>
      <c r="I23" s="58">
        <f>0.15*80/75</f>
        <v>0.16</v>
      </c>
      <c r="J23" s="59">
        <f>4.88*80/75</f>
        <v>5.2053333333333329</v>
      </c>
    </row>
    <row r="24" spans="1:10" ht="15.75" x14ac:dyDescent="0.25">
      <c r="A24" s="85" t="s">
        <v>9</v>
      </c>
      <c r="B24" s="81" t="s">
        <v>10</v>
      </c>
      <c r="C24" s="37">
        <v>32</v>
      </c>
      <c r="D24" s="38" t="s">
        <v>37</v>
      </c>
      <c r="E24" s="33" t="s">
        <v>33</v>
      </c>
      <c r="F24" s="47">
        <f>30.5*30/38+9.04*150/142</f>
        <v>33.628243143068936</v>
      </c>
      <c r="G24" s="6">
        <v>375</v>
      </c>
      <c r="H24" s="6">
        <v>16.61</v>
      </c>
      <c r="I24" s="6">
        <v>15.77</v>
      </c>
      <c r="J24" s="7">
        <v>42.02</v>
      </c>
    </row>
    <row r="25" spans="1:10" ht="16.5" thickBot="1" x14ac:dyDescent="0.3">
      <c r="A25" s="86"/>
      <c r="B25" s="82" t="s">
        <v>11</v>
      </c>
      <c r="C25" s="64">
        <v>57</v>
      </c>
      <c r="D25" s="65" t="s">
        <v>38</v>
      </c>
      <c r="E25" s="66" t="s">
        <v>29</v>
      </c>
      <c r="F25" s="67">
        <v>1.21</v>
      </c>
      <c r="G25" s="10">
        <v>41</v>
      </c>
      <c r="H25" s="10">
        <v>0</v>
      </c>
      <c r="I25" s="10">
        <v>0</v>
      </c>
      <c r="J25" s="25">
        <v>10.01</v>
      </c>
    </row>
    <row r="26" spans="1:10" ht="15.75" x14ac:dyDescent="0.25">
      <c r="A26" s="86"/>
      <c r="B26" s="92" t="s">
        <v>54</v>
      </c>
      <c r="C26" s="64" t="s">
        <v>19</v>
      </c>
      <c r="D26" s="65" t="s">
        <v>36</v>
      </c>
      <c r="E26" s="66" t="s">
        <v>46</v>
      </c>
      <c r="F26" s="67">
        <f>150*0.038</f>
        <v>5.7</v>
      </c>
      <c r="G26" s="6">
        <v>144.74</v>
      </c>
      <c r="H26" s="6">
        <v>3.53</v>
      </c>
      <c r="I26" s="6">
        <v>9.8800000000000008</v>
      </c>
      <c r="J26" s="7">
        <v>3.53</v>
      </c>
    </row>
    <row r="27" spans="1:10" ht="15.75" x14ac:dyDescent="0.25">
      <c r="A27" s="86"/>
      <c r="B27" s="81" t="s">
        <v>15</v>
      </c>
      <c r="C27" s="37" t="s">
        <v>19</v>
      </c>
      <c r="D27" s="38" t="s">
        <v>20</v>
      </c>
      <c r="E27" s="34" t="s">
        <v>51</v>
      </c>
      <c r="F27" s="51">
        <f>50.71*0.03</f>
        <v>1.5212999999999999</v>
      </c>
      <c r="G27" s="6">
        <f>40*30/20</f>
        <v>60</v>
      </c>
      <c r="H27" s="6">
        <f>0.98*30/20</f>
        <v>1.47</v>
      </c>
      <c r="I27" s="6">
        <f>0.2*30/20</f>
        <v>0.3</v>
      </c>
      <c r="J27" s="7">
        <f>8.95*30/20</f>
        <v>13.425000000000001</v>
      </c>
    </row>
    <row r="28" spans="1:10" ht="15.75" x14ac:dyDescent="0.25">
      <c r="A28" s="86"/>
      <c r="B28" s="83" t="s">
        <v>16</v>
      </c>
      <c r="C28" s="37" t="s">
        <v>19</v>
      </c>
      <c r="D28" s="38" t="s">
        <v>34</v>
      </c>
      <c r="E28" s="33" t="s">
        <v>51</v>
      </c>
      <c r="F28" s="47">
        <f>74.8*0.03</f>
        <v>2.2439999999999998</v>
      </c>
      <c r="G28" s="6">
        <f>41.6*30/20</f>
        <v>62.4</v>
      </c>
      <c r="H28" s="6">
        <f>1.6*30/20</f>
        <v>2.4</v>
      </c>
      <c r="I28" s="6">
        <f>0.03*30/20</f>
        <v>4.4999999999999998E-2</v>
      </c>
      <c r="J28" s="7">
        <f>8.02*30/20</f>
        <v>12.03</v>
      </c>
    </row>
    <row r="29" spans="1:10" ht="16.5" thickBot="1" x14ac:dyDescent="0.3">
      <c r="A29" s="87"/>
      <c r="B29" s="84"/>
      <c r="C29" s="68"/>
      <c r="D29" s="69"/>
      <c r="E29" s="70"/>
      <c r="F29" s="71">
        <v>68.05</v>
      </c>
      <c r="G29" s="46">
        <f>SUM(G23:G28)</f>
        <v>715.14</v>
      </c>
      <c r="H29" s="46">
        <f>SUM(H23:H28)</f>
        <v>26.495333333333331</v>
      </c>
      <c r="I29" s="46">
        <f>SUM(I23:I28)</f>
        <v>26.155000000000005</v>
      </c>
      <c r="J29" s="53">
        <f>SUM(J23:J28)</f>
        <v>86.220333333333343</v>
      </c>
    </row>
    <row r="30" spans="1:10" ht="15.75" x14ac:dyDescent="0.25">
      <c r="A30" s="91" t="s">
        <v>21</v>
      </c>
      <c r="B30" s="88"/>
      <c r="C30" s="39">
        <v>63</v>
      </c>
      <c r="D30" s="40" t="s">
        <v>44</v>
      </c>
      <c r="E30" s="72">
        <v>200</v>
      </c>
      <c r="F30" s="50">
        <v>19.420000000000002</v>
      </c>
      <c r="G30" s="3">
        <v>106</v>
      </c>
      <c r="H30" s="3">
        <v>5.8</v>
      </c>
      <c r="I30" s="3">
        <v>5</v>
      </c>
      <c r="J30" s="4">
        <v>80</v>
      </c>
    </row>
    <row r="31" spans="1:10" ht="15.75" x14ac:dyDescent="0.25">
      <c r="A31" s="86"/>
      <c r="B31" s="89"/>
      <c r="C31" s="73">
        <v>44</v>
      </c>
      <c r="D31" s="74" t="s">
        <v>39</v>
      </c>
      <c r="E31" s="75">
        <v>155</v>
      </c>
      <c r="F31" s="67">
        <f>22.23*155/100</f>
        <v>34.456499999999998</v>
      </c>
      <c r="G31" s="10">
        <f>356.67*155/100</f>
        <v>552.83850000000007</v>
      </c>
      <c r="H31" s="10">
        <f>10.5*155/100</f>
        <v>16.274999999999999</v>
      </c>
      <c r="I31" s="10">
        <f>10.33*155/100</f>
        <v>16.011500000000002</v>
      </c>
      <c r="J31" s="25">
        <f>55.33*155/100</f>
        <v>85.761499999999998</v>
      </c>
    </row>
    <row r="32" spans="1:10" ht="16.5" thickBot="1" x14ac:dyDescent="0.3">
      <c r="A32" s="87"/>
      <c r="B32" s="90"/>
      <c r="C32" s="76"/>
      <c r="D32" s="77"/>
      <c r="E32" s="78"/>
      <c r="F32" s="79">
        <v>51.02</v>
      </c>
      <c r="G32" s="48">
        <f>SUM(G30:G31)</f>
        <v>658.83850000000007</v>
      </c>
      <c r="H32" s="48">
        <f>SUM(H30:H31)</f>
        <v>22.074999999999999</v>
      </c>
      <c r="I32" s="48">
        <f>SUM(I30:I31)</f>
        <v>21.011500000000002</v>
      </c>
      <c r="J32" s="49">
        <f>SUM(J30:J31)</f>
        <v>165.76150000000001</v>
      </c>
    </row>
    <row r="33" spans="1:13" ht="15.75" x14ac:dyDescent="0.25">
      <c r="A33" s="91" t="s">
        <v>12</v>
      </c>
      <c r="B33" s="88" t="s">
        <v>40</v>
      </c>
      <c r="C33" s="39">
        <v>4</v>
      </c>
      <c r="D33" s="40" t="s">
        <v>41</v>
      </c>
      <c r="E33" s="31" t="s">
        <v>58</v>
      </c>
      <c r="F33" s="50">
        <f>46.71*80/100</f>
        <v>37.368000000000002</v>
      </c>
      <c r="G33" s="3">
        <f>14*85/100</f>
        <v>11.9</v>
      </c>
      <c r="H33" s="3">
        <f>0.8*85/100</f>
        <v>0.68</v>
      </c>
      <c r="I33" s="3">
        <f>0.1*85/100</f>
        <v>8.5000000000000006E-2</v>
      </c>
      <c r="J33" s="4">
        <f>2.5*85/100</f>
        <v>2.125</v>
      </c>
    </row>
    <row r="34" spans="1:13" ht="30" x14ac:dyDescent="0.25">
      <c r="A34" s="86"/>
      <c r="B34" s="81" t="s">
        <v>13</v>
      </c>
      <c r="C34" s="41">
        <v>22</v>
      </c>
      <c r="D34" s="42" t="s">
        <v>55</v>
      </c>
      <c r="E34" s="33" t="s">
        <v>56</v>
      </c>
      <c r="F34" s="47">
        <f>5.4*250/250+1.84</f>
        <v>7.24</v>
      </c>
      <c r="G34" s="6">
        <v>168.75</v>
      </c>
      <c r="H34" s="6">
        <v>1.72</v>
      </c>
      <c r="I34" s="6">
        <v>6.18</v>
      </c>
      <c r="J34" s="7">
        <v>11.66</v>
      </c>
    </row>
    <row r="35" spans="1:13" ht="15.75" x14ac:dyDescent="0.25">
      <c r="A35" s="86"/>
      <c r="B35" s="81" t="s">
        <v>14</v>
      </c>
      <c r="C35" s="41">
        <v>39</v>
      </c>
      <c r="D35" s="42" t="s">
        <v>42</v>
      </c>
      <c r="E35" s="33" t="s">
        <v>45</v>
      </c>
      <c r="F35" s="47">
        <f>17.89*190/180+29.96*30/40</f>
        <v>41.353888888888889</v>
      </c>
      <c r="G35" s="6">
        <v>283</v>
      </c>
      <c r="H35" s="6">
        <v>13.43</v>
      </c>
      <c r="I35" s="6">
        <v>17.52</v>
      </c>
      <c r="J35" s="7">
        <v>16.059999999999999</v>
      </c>
      <c r="M35" t="s">
        <v>30</v>
      </c>
    </row>
    <row r="36" spans="1:13" ht="15.75" x14ac:dyDescent="0.25">
      <c r="A36" s="86"/>
      <c r="B36" s="81" t="s">
        <v>22</v>
      </c>
      <c r="C36" s="41">
        <v>74</v>
      </c>
      <c r="D36" s="42" t="s">
        <v>48</v>
      </c>
      <c r="E36" s="33" t="s">
        <v>29</v>
      </c>
      <c r="F36" s="47">
        <v>11.48</v>
      </c>
      <c r="G36" s="6">
        <v>87</v>
      </c>
      <c r="H36" s="6">
        <v>1.04</v>
      </c>
      <c r="I36" s="6">
        <v>0</v>
      </c>
      <c r="J36" s="7">
        <v>20.98</v>
      </c>
    </row>
    <row r="37" spans="1:13" ht="15.75" x14ac:dyDescent="0.25">
      <c r="A37" s="86"/>
      <c r="B37" s="81" t="s">
        <v>16</v>
      </c>
      <c r="C37" s="41" t="s">
        <v>19</v>
      </c>
      <c r="D37" s="42" t="s">
        <v>23</v>
      </c>
      <c r="E37" s="33" t="s">
        <v>57</v>
      </c>
      <c r="F37" s="47">
        <f>74.8*0.04</f>
        <v>2.992</v>
      </c>
      <c r="G37" s="6">
        <f>83.02*41/40</f>
        <v>85.095499999999987</v>
      </c>
      <c r="H37" s="6">
        <f>3.2*41/40</f>
        <v>3.2800000000000002</v>
      </c>
      <c r="I37" s="6">
        <f>0.06*41/40</f>
        <v>6.1499999999999999E-2</v>
      </c>
      <c r="J37" s="7">
        <f>16.04*41/40</f>
        <v>16.440999999999999</v>
      </c>
    </row>
    <row r="38" spans="1:13" ht="16.5" thickBot="1" x14ac:dyDescent="0.3">
      <c r="A38" s="87"/>
      <c r="B38" s="81" t="s">
        <v>15</v>
      </c>
      <c r="C38" s="41" t="s">
        <v>19</v>
      </c>
      <c r="D38" s="42" t="s">
        <v>20</v>
      </c>
      <c r="E38" s="33" t="s">
        <v>57</v>
      </c>
      <c r="F38" s="47">
        <f>50.71*0.04</f>
        <v>2.0284</v>
      </c>
      <c r="G38" s="6">
        <f>80*41/40</f>
        <v>82</v>
      </c>
      <c r="H38" s="6">
        <f>1.96*41/40</f>
        <v>2.0089999999999999</v>
      </c>
      <c r="I38" s="6">
        <f>0.4*41/40</f>
        <v>0.41000000000000003</v>
      </c>
      <c r="J38" s="7">
        <f>17.92*41/40</f>
        <v>18.368000000000002</v>
      </c>
    </row>
    <row r="39" spans="1:13" ht="16.5" thickBot="1" x14ac:dyDescent="0.3">
      <c r="A39" s="45"/>
      <c r="B39" s="26"/>
      <c r="C39" s="27"/>
      <c r="D39" s="27"/>
      <c r="E39" s="36"/>
      <c r="F39" s="52">
        <v>102.06</v>
      </c>
      <c r="G39" s="28">
        <f>SUM(G33:G38)</f>
        <v>717.74549999999999</v>
      </c>
      <c r="H39" s="28">
        <f>SUM(H33:H38)</f>
        <v>22.159000000000002</v>
      </c>
      <c r="I39" s="28">
        <f>SUM(I33:I38)</f>
        <v>24.256499999999999</v>
      </c>
      <c r="J39" s="29">
        <f>SUM(J33:J38)</f>
        <v>85.634000000000015</v>
      </c>
    </row>
    <row r="40" spans="1:13" x14ac:dyDescent="0.25">
      <c r="A40" s="19" t="s">
        <v>27</v>
      </c>
    </row>
    <row r="41" spans="1:13" x14ac:dyDescent="0.25">
      <c r="A41" s="19" t="s">
        <v>31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F7:F8 G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I1" sqref="I1:J1048576"/>
    </sheetView>
  </sheetViews>
  <sheetFormatPr defaultColWidth="8.85546875" defaultRowHeight="15" x14ac:dyDescent="0.25"/>
  <cols>
    <col min="1" max="2" width="11.28515625" style="20" customWidth="1"/>
    <col min="3" max="3" width="6.42578125" style="20" customWidth="1"/>
    <col min="4" max="4" width="21.5703125" style="20" customWidth="1"/>
    <col min="5" max="5" width="10" style="21" customWidth="1"/>
    <col min="6" max="6" width="8.28515625" style="21" bestFit="1" customWidth="1"/>
    <col min="7" max="7" width="7.7109375" style="20" customWidth="1"/>
    <col min="8" max="8" width="6.140625" style="20" bestFit="1" customWidth="1"/>
    <col min="9" max="10" width="10.5703125" style="20" customWidth="1"/>
    <col min="11" max="16384" width="8.85546875" style="20"/>
  </cols>
  <sheetData>
    <row r="1" spans="1:10" ht="28.9" customHeight="1" x14ac:dyDescent="0.25">
      <c r="A1" s="20" t="s">
        <v>0</v>
      </c>
      <c r="B1" s="111" t="s">
        <v>59</v>
      </c>
      <c r="C1" s="112"/>
      <c r="D1" s="113"/>
      <c r="E1" s="21" t="s">
        <v>25</v>
      </c>
      <c r="F1" s="22"/>
      <c r="G1" s="114" t="s">
        <v>52</v>
      </c>
      <c r="H1" s="115"/>
      <c r="I1" s="23">
        <v>45023</v>
      </c>
    </row>
    <row r="2" spans="1:10" ht="15.75" thickBot="1" x14ac:dyDescent="0.3">
      <c r="A2" s="54"/>
      <c r="B2" s="55" t="s">
        <v>28</v>
      </c>
      <c r="C2" s="54"/>
      <c r="D2" s="54"/>
      <c r="E2" s="56"/>
      <c r="F2" s="56"/>
      <c r="G2" s="54"/>
      <c r="H2" s="54"/>
      <c r="I2" s="54"/>
      <c r="J2" s="54"/>
    </row>
    <row r="3" spans="1:10" ht="30.75" thickBot="1" x14ac:dyDescent="0.3">
      <c r="A3" s="14" t="s">
        <v>1</v>
      </c>
      <c r="B3" s="15" t="s">
        <v>2</v>
      </c>
      <c r="C3" s="15" t="s">
        <v>17</v>
      </c>
      <c r="D3" s="15" t="s">
        <v>3</v>
      </c>
      <c r="E3" s="30" t="s">
        <v>18</v>
      </c>
      <c r="F3" s="30" t="s">
        <v>4</v>
      </c>
      <c r="G3" s="16" t="s">
        <v>5</v>
      </c>
      <c r="H3" s="15" t="s">
        <v>6</v>
      </c>
      <c r="I3" s="15" t="s">
        <v>7</v>
      </c>
      <c r="J3" s="17" t="s">
        <v>8</v>
      </c>
    </row>
    <row r="4" spans="1:10" s="24" customFormat="1" ht="15.75" x14ac:dyDescent="0.25">
      <c r="A4" s="93"/>
      <c r="B4" s="92" t="s">
        <v>35</v>
      </c>
      <c r="C4" s="61">
        <v>1</v>
      </c>
      <c r="D4" s="62" t="s">
        <v>47</v>
      </c>
      <c r="E4" s="30">
        <v>65</v>
      </c>
      <c r="F4" s="63">
        <f>32.11*65/75</f>
        <v>27.828666666666667</v>
      </c>
      <c r="G4" s="57">
        <f>30*75/75</f>
        <v>30</v>
      </c>
      <c r="H4" s="58">
        <f>2.33*75/75</f>
        <v>2.33</v>
      </c>
      <c r="I4" s="58">
        <f>0.15*75/75</f>
        <v>0.15</v>
      </c>
      <c r="J4" s="59">
        <f>4.88*75/75</f>
        <v>4.88</v>
      </c>
    </row>
    <row r="5" spans="1:10" s="24" customFormat="1" ht="15.75" x14ac:dyDescent="0.25">
      <c r="A5" s="94" t="s">
        <v>9</v>
      </c>
      <c r="B5" s="81" t="s">
        <v>10</v>
      </c>
      <c r="C5" s="37">
        <v>32</v>
      </c>
      <c r="D5" s="38" t="s">
        <v>37</v>
      </c>
      <c r="E5" s="33" t="s">
        <v>32</v>
      </c>
      <c r="F5" s="47">
        <f>34.03*25/32+10.08*125/118</f>
        <v>37.263903601694913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6.149999999999999" customHeight="1" thickBot="1" x14ac:dyDescent="0.3">
      <c r="A6" s="86"/>
      <c r="B6" s="82" t="s">
        <v>11</v>
      </c>
      <c r="C6" s="64">
        <v>57</v>
      </c>
      <c r="D6" s="65" t="s">
        <v>38</v>
      </c>
      <c r="E6" s="66" t="s">
        <v>29</v>
      </c>
      <c r="F6" s="67">
        <v>1.61</v>
      </c>
      <c r="G6" s="10">
        <v>41</v>
      </c>
      <c r="H6" s="10">
        <v>0</v>
      </c>
      <c r="I6" s="10">
        <v>0</v>
      </c>
      <c r="J6" s="25">
        <v>10.01</v>
      </c>
    </row>
    <row r="7" spans="1:10" ht="15.75" x14ac:dyDescent="0.25">
      <c r="A7" s="86"/>
      <c r="B7" s="92" t="s">
        <v>54</v>
      </c>
      <c r="C7" s="64" t="s">
        <v>19</v>
      </c>
      <c r="D7" s="65" t="s">
        <v>36</v>
      </c>
      <c r="E7" s="66" t="s">
        <v>46</v>
      </c>
      <c r="F7" s="67">
        <f>150*0.038*1.33</f>
        <v>7.5810000000000004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6"/>
      <c r="B8" s="81" t="s">
        <v>15</v>
      </c>
      <c r="C8" s="37" t="s">
        <v>19</v>
      </c>
      <c r="D8" s="38" t="s">
        <v>20</v>
      </c>
      <c r="E8" s="32">
        <v>27</v>
      </c>
      <c r="F8" s="47">
        <f>55.37*0.027</f>
        <v>1.4949899999999998</v>
      </c>
      <c r="G8" s="6">
        <f>40*27/20</f>
        <v>54</v>
      </c>
      <c r="H8" s="6">
        <f>0.98*27/20</f>
        <v>1.323</v>
      </c>
      <c r="I8" s="6">
        <f>0.2*27/20</f>
        <v>0.27</v>
      </c>
      <c r="J8" s="7">
        <f>8.95*27/20</f>
        <v>12.0825</v>
      </c>
    </row>
    <row r="9" spans="1:10" ht="15.75" x14ac:dyDescent="0.25">
      <c r="A9" s="86"/>
      <c r="B9" s="83" t="s">
        <v>16</v>
      </c>
      <c r="C9" s="37" t="s">
        <v>19</v>
      </c>
      <c r="D9" s="38" t="s">
        <v>34</v>
      </c>
      <c r="E9" s="32">
        <v>28</v>
      </c>
      <c r="F9" s="47">
        <v>2.2200000000000002</v>
      </c>
      <c r="G9" s="6">
        <f>41.6*28/20</f>
        <v>58.239999999999995</v>
      </c>
      <c r="H9" s="6">
        <f>1.6*28/20</f>
        <v>2.2400000000000002</v>
      </c>
      <c r="I9" s="6">
        <f>0.03*28/20</f>
        <v>4.1999999999999996E-2</v>
      </c>
      <c r="J9" s="7">
        <f>8.02*28/20</f>
        <v>11.228</v>
      </c>
    </row>
    <row r="10" spans="1:10" ht="15.6" customHeight="1" thickBot="1" x14ac:dyDescent="0.3">
      <c r="A10" s="87"/>
      <c r="B10" s="84"/>
      <c r="C10" s="68"/>
      <c r="D10" s="69"/>
      <c r="E10" s="70"/>
      <c r="F10" s="71">
        <f>SUM(F4:F9)</f>
        <v>77.998560268361587</v>
      </c>
      <c r="G10" s="46">
        <f>SUM(G4:G9)</f>
        <v>640.98</v>
      </c>
      <c r="H10" s="46">
        <f>SUM(H4:H9)</f>
        <v>23.263000000000005</v>
      </c>
      <c r="I10" s="46">
        <f>SUM(I4:I9)</f>
        <v>23.482000000000003</v>
      </c>
      <c r="J10" s="53">
        <f>SUM(J4:J9)</f>
        <v>76.750500000000002</v>
      </c>
    </row>
    <row r="11" spans="1:10" ht="15.75" x14ac:dyDescent="0.25">
      <c r="A11" s="91"/>
      <c r="B11" s="92" t="s">
        <v>35</v>
      </c>
      <c r="C11" s="61">
        <v>1</v>
      </c>
      <c r="D11" s="62" t="s">
        <v>47</v>
      </c>
      <c r="E11" s="30">
        <v>75</v>
      </c>
      <c r="F11" s="63">
        <f>32.11*75/75</f>
        <v>32.11</v>
      </c>
      <c r="G11" s="57">
        <f>30*75/75</f>
        <v>30</v>
      </c>
      <c r="H11" s="58">
        <f>2.33*75/75</f>
        <v>2.33</v>
      </c>
      <c r="I11" s="58">
        <f>0.15*75/75</f>
        <v>0.15</v>
      </c>
      <c r="J11" s="59">
        <f>4.88*75/75</f>
        <v>4.88</v>
      </c>
    </row>
    <row r="12" spans="1:10" ht="15.75" x14ac:dyDescent="0.25">
      <c r="A12" s="86"/>
      <c r="B12" s="81" t="s">
        <v>10</v>
      </c>
      <c r="C12" s="37">
        <v>32</v>
      </c>
      <c r="D12" s="38" t="s">
        <v>37</v>
      </c>
      <c r="E12" s="33" t="s">
        <v>33</v>
      </c>
      <c r="F12" s="47">
        <f>34.03*30/32+10.08*150/118</f>
        <v>44.716684322033899</v>
      </c>
      <c r="G12" s="6">
        <v>313</v>
      </c>
      <c r="H12" s="6">
        <v>13.84</v>
      </c>
      <c r="I12" s="6">
        <v>13.14</v>
      </c>
      <c r="J12" s="7">
        <v>35.020000000000003</v>
      </c>
    </row>
    <row r="13" spans="1:10" ht="15.75" x14ac:dyDescent="0.25">
      <c r="A13" s="86"/>
      <c r="B13" s="98" t="s">
        <v>11</v>
      </c>
      <c r="C13" s="41">
        <v>74</v>
      </c>
      <c r="D13" s="42" t="s">
        <v>48</v>
      </c>
      <c r="E13" s="33" t="s">
        <v>29</v>
      </c>
      <c r="F13" s="47">
        <v>15.27</v>
      </c>
      <c r="G13" s="6">
        <v>87</v>
      </c>
      <c r="H13" s="6">
        <v>1.04</v>
      </c>
      <c r="I13" s="6">
        <v>0</v>
      </c>
      <c r="J13" s="7">
        <v>20.98</v>
      </c>
    </row>
    <row r="14" spans="1:10" ht="15.75" x14ac:dyDescent="0.25">
      <c r="A14" s="86"/>
      <c r="B14" s="99" t="s">
        <v>35</v>
      </c>
      <c r="C14" s="64" t="s">
        <v>19</v>
      </c>
      <c r="D14" s="65" t="s">
        <v>36</v>
      </c>
      <c r="E14" s="66" t="s">
        <v>50</v>
      </c>
      <c r="F14" s="67">
        <f>150*0.019*1.33</f>
        <v>3.7905000000000002</v>
      </c>
      <c r="G14" s="6">
        <v>144.74</v>
      </c>
      <c r="H14" s="6">
        <v>3.53</v>
      </c>
      <c r="I14" s="6">
        <v>9.8800000000000008</v>
      </c>
      <c r="J14" s="7">
        <v>3.53</v>
      </c>
    </row>
    <row r="15" spans="1:10" ht="15.75" x14ac:dyDescent="0.25">
      <c r="A15" s="86"/>
      <c r="B15" s="81"/>
      <c r="C15" s="37" t="s">
        <v>19</v>
      </c>
      <c r="D15" s="38" t="s">
        <v>20</v>
      </c>
      <c r="E15" s="32">
        <v>28</v>
      </c>
      <c r="F15" s="47">
        <f>55.37*0.028</f>
        <v>1.55036</v>
      </c>
      <c r="G15" s="6">
        <f>40*28/20</f>
        <v>56</v>
      </c>
      <c r="H15" s="6">
        <f>0.98*28/20</f>
        <v>1.3719999999999999</v>
      </c>
      <c r="I15" s="6">
        <f>0.2*28/20</f>
        <v>0.28000000000000003</v>
      </c>
      <c r="J15" s="7">
        <f>8.95*28/20</f>
        <v>12.529999999999998</v>
      </c>
    </row>
    <row r="16" spans="1:10" ht="15.75" x14ac:dyDescent="0.25">
      <c r="A16" s="86"/>
      <c r="B16" s="83"/>
      <c r="C16" s="37" t="s">
        <v>19</v>
      </c>
      <c r="D16" s="38" t="s">
        <v>34</v>
      </c>
      <c r="E16" s="32">
        <v>29</v>
      </c>
      <c r="F16" s="47">
        <v>2.56</v>
      </c>
      <c r="G16" s="6">
        <f>41.6*29/20</f>
        <v>60.320000000000007</v>
      </c>
      <c r="H16" s="6">
        <f>1.6*29/20</f>
        <v>2.3200000000000003</v>
      </c>
      <c r="I16" s="6">
        <f>0.03*29/20</f>
        <v>4.3499999999999997E-2</v>
      </c>
      <c r="J16" s="7">
        <f>8.02*29/20</f>
        <v>11.629</v>
      </c>
    </row>
    <row r="17" spans="1:10" ht="16.5" thickBot="1" x14ac:dyDescent="0.3">
      <c r="A17" s="96"/>
      <c r="B17" s="90"/>
      <c r="C17" s="27"/>
      <c r="D17" s="27"/>
      <c r="E17" s="36"/>
      <c r="F17" s="52">
        <f>SUM(F11:F16)</f>
        <v>99.997544322033889</v>
      </c>
      <c r="G17" s="28">
        <f>SUM(G11:G16)</f>
        <v>691.06000000000006</v>
      </c>
      <c r="H17" s="28">
        <f>SUM(H11:H16)</f>
        <v>24.432000000000002</v>
      </c>
      <c r="I17" s="28">
        <f>SUM(I11:I16)</f>
        <v>23.493500000000004</v>
      </c>
      <c r="J17" s="29">
        <f>SUM(J11:J16)</f>
        <v>88.569000000000017</v>
      </c>
    </row>
    <row r="18" spans="1:10" ht="15.75" x14ac:dyDescent="0.25">
      <c r="A18" s="2"/>
      <c r="B18" s="14" t="s">
        <v>35</v>
      </c>
      <c r="C18" s="61">
        <v>1</v>
      </c>
      <c r="D18" s="62" t="s">
        <v>47</v>
      </c>
      <c r="E18" s="30">
        <v>75</v>
      </c>
      <c r="F18" s="63">
        <f>32.11*75/75</f>
        <v>32.11</v>
      </c>
      <c r="G18" s="57">
        <f>30*75/75</f>
        <v>30</v>
      </c>
      <c r="H18" s="58">
        <f>2.33*75/75</f>
        <v>2.33</v>
      </c>
      <c r="I18" s="58">
        <f>0.15*75/75</f>
        <v>0.15</v>
      </c>
      <c r="J18" s="59">
        <f>4.88*75/75</f>
        <v>4.88</v>
      </c>
    </row>
    <row r="19" spans="1:10" ht="45" x14ac:dyDescent="0.25">
      <c r="A19" s="5"/>
      <c r="B19" s="101" t="s">
        <v>13</v>
      </c>
      <c r="C19" s="43">
        <v>22</v>
      </c>
      <c r="D19" s="44" t="s">
        <v>43</v>
      </c>
      <c r="E19" s="34" t="s">
        <v>53</v>
      </c>
      <c r="F19" s="51">
        <f>14.16*245/250+2.58+9.8*0.5</f>
        <v>21.3568</v>
      </c>
      <c r="G19" s="8">
        <v>168.75</v>
      </c>
      <c r="H19" s="8">
        <v>1.72</v>
      </c>
      <c r="I19" s="8">
        <v>6.18</v>
      </c>
      <c r="J19" s="9">
        <v>11.66</v>
      </c>
    </row>
    <row r="20" spans="1:10" customFormat="1" ht="15.6" customHeight="1" x14ac:dyDescent="0.25">
      <c r="A20" s="5"/>
      <c r="B20" s="80" t="s">
        <v>10</v>
      </c>
      <c r="C20" s="37">
        <v>32</v>
      </c>
      <c r="D20" s="38" t="s">
        <v>37</v>
      </c>
      <c r="E20" s="33" t="s">
        <v>33</v>
      </c>
      <c r="F20" s="47">
        <f>34.03*30/32+10.08*150/118</f>
        <v>44.716684322033899</v>
      </c>
      <c r="G20" s="6">
        <v>313</v>
      </c>
      <c r="H20" s="6">
        <v>13.84</v>
      </c>
      <c r="I20" s="6">
        <v>13.14</v>
      </c>
      <c r="J20" s="7">
        <v>35.020000000000003</v>
      </c>
    </row>
    <row r="21" spans="1:10" customFormat="1" ht="15.75" x14ac:dyDescent="0.25">
      <c r="A21" s="5"/>
      <c r="B21" s="102" t="s">
        <v>11</v>
      </c>
      <c r="C21" s="41">
        <v>74</v>
      </c>
      <c r="D21" s="42" t="s">
        <v>48</v>
      </c>
      <c r="E21" s="33" t="s">
        <v>29</v>
      </c>
      <c r="F21" s="47">
        <v>15.27</v>
      </c>
      <c r="G21" s="6">
        <v>87</v>
      </c>
      <c r="H21" s="6">
        <v>1.04</v>
      </c>
      <c r="I21" s="6">
        <v>0</v>
      </c>
      <c r="J21" s="7">
        <v>20.98</v>
      </c>
    </row>
    <row r="22" spans="1:10" customFormat="1" ht="15.75" x14ac:dyDescent="0.25">
      <c r="A22" s="5"/>
      <c r="B22" s="80"/>
      <c r="C22" s="37" t="s">
        <v>19</v>
      </c>
      <c r="D22" s="38" t="s">
        <v>20</v>
      </c>
      <c r="E22" s="32">
        <v>28</v>
      </c>
      <c r="F22" s="47">
        <v>1.68</v>
      </c>
      <c r="G22" s="6">
        <f>40*28/20</f>
        <v>56</v>
      </c>
      <c r="H22" s="6">
        <f>0.98*28/20</f>
        <v>1.3719999999999999</v>
      </c>
      <c r="I22" s="6">
        <f>0.2*28/20</f>
        <v>0.28000000000000003</v>
      </c>
      <c r="J22" s="7">
        <f>8.95*28/20</f>
        <v>12.529999999999998</v>
      </c>
    </row>
    <row r="23" spans="1:10" customFormat="1" ht="15.75" x14ac:dyDescent="0.25">
      <c r="A23" s="5"/>
      <c r="B23" s="103"/>
      <c r="C23" s="37" t="s">
        <v>19</v>
      </c>
      <c r="D23" s="38" t="s">
        <v>34</v>
      </c>
      <c r="E23" s="32">
        <v>28</v>
      </c>
      <c r="F23" s="47">
        <f>81.6*0.028</f>
        <v>2.2847999999999997</v>
      </c>
      <c r="G23" s="6">
        <f>41.6*28/20</f>
        <v>58.239999999999995</v>
      </c>
      <c r="H23" s="6">
        <f>1.6*28/20</f>
        <v>2.2400000000000002</v>
      </c>
      <c r="I23" s="6">
        <f>0.03*28/20</f>
        <v>4.1999999999999996E-2</v>
      </c>
      <c r="J23" s="7">
        <f>8.02*28/20</f>
        <v>11.228</v>
      </c>
    </row>
    <row r="24" spans="1:10" customFormat="1" ht="15.75" x14ac:dyDescent="0.25">
      <c r="A24" s="5"/>
      <c r="B24" s="104"/>
      <c r="C24" s="64" t="s">
        <v>19</v>
      </c>
      <c r="D24" s="65" t="s">
        <v>36</v>
      </c>
      <c r="E24" s="66" t="s">
        <v>46</v>
      </c>
      <c r="F24" s="67">
        <f>150*0.038*1.33</f>
        <v>7.5810000000000004</v>
      </c>
      <c r="G24" s="6">
        <v>144.74</v>
      </c>
      <c r="H24" s="6">
        <v>3.53</v>
      </c>
      <c r="I24" s="6">
        <v>9.8800000000000008</v>
      </c>
      <c r="J24" s="7">
        <v>3.53</v>
      </c>
    </row>
    <row r="25" spans="1:10" ht="16.5" thickBot="1" x14ac:dyDescent="0.3">
      <c r="A25" s="100"/>
      <c r="B25" s="105"/>
      <c r="C25" s="27"/>
      <c r="D25" s="27"/>
      <c r="E25" s="36"/>
      <c r="F25" s="52">
        <f>SUM(F18:F24)</f>
        <v>124.99928432203392</v>
      </c>
      <c r="G25" s="28">
        <f>SUM(G18:G24)</f>
        <v>857.73</v>
      </c>
      <c r="H25" s="28">
        <f>SUM(H18:H24)</f>
        <v>26.072000000000003</v>
      </c>
      <c r="I25" s="28">
        <f>SUM(I18:I24)</f>
        <v>29.672000000000004</v>
      </c>
      <c r="J25" s="29">
        <f>SUM(J18:J24)</f>
        <v>99.828000000000003</v>
      </c>
    </row>
    <row r="27" spans="1:10" customFormat="1" x14ac:dyDescent="0.25">
      <c r="A27" s="19" t="s">
        <v>27</v>
      </c>
      <c r="E27" s="13"/>
      <c r="F27" s="13"/>
    </row>
    <row r="28" spans="1:10" customFormat="1" x14ac:dyDescent="0.25">
      <c r="A28" s="19" t="s">
        <v>31</v>
      </c>
      <c r="E28" s="13"/>
      <c r="F28" s="13"/>
    </row>
  </sheetData>
  <mergeCells count="2">
    <mergeCell ref="B1:D1"/>
    <mergeCell ref="G1:H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2022-11-07T07:00:33Z</cp:lastPrinted>
  <dcterms:created xsi:type="dcterms:W3CDTF">2015-06-05T18:19:34Z</dcterms:created>
  <dcterms:modified xsi:type="dcterms:W3CDTF">2023-04-05T15:04:33Z</dcterms:modified>
</cp:coreProperties>
</file>