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519DF16E-09F3-464F-81D1-380A616452D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23" i="2"/>
  <c r="J17" i="2"/>
  <c r="I17" i="2"/>
  <c r="H17" i="2"/>
  <c r="G17" i="2"/>
  <c r="J16" i="2"/>
  <c r="I16" i="2"/>
  <c r="H16" i="2"/>
  <c r="G16" i="2"/>
  <c r="J13" i="2"/>
  <c r="I13" i="2"/>
  <c r="H13" i="2"/>
  <c r="G13" i="2"/>
  <c r="G18" i="2" s="1"/>
  <c r="F15" i="2"/>
  <c r="J10" i="2"/>
  <c r="I10" i="2"/>
  <c r="H10" i="2"/>
  <c r="G10" i="2"/>
  <c r="F10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4" i="2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2" i="1"/>
  <c r="I32" i="1"/>
  <c r="H32" i="1"/>
  <c r="G32" i="1"/>
  <c r="F32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F26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G23" i="1" s="1"/>
  <c r="I11" i="1"/>
  <c r="J10" i="1"/>
  <c r="I10" i="1"/>
  <c r="H10" i="1"/>
  <c r="G10" i="1"/>
  <c r="F10" i="1"/>
  <c r="J8" i="1"/>
  <c r="I8" i="1"/>
  <c r="H8" i="1"/>
  <c r="G8" i="1"/>
  <c r="F8" i="1"/>
  <c r="J7" i="1"/>
  <c r="I7" i="1"/>
  <c r="H7" i="1"/>
  <c r="G7" i="1"/>
  <c r="F7" i="1"/>
  <c r="J6" i="1"/>
  <c r="I6" i="1"/>
  <c r="H6" i="1"/>
  <c r="G6" i="1"/>
  <c r="F4" i="1"/>
  <c r="F24" i="2"/>
  <c r="F41" i="1"/>
  <c r="F19" i="1"/>
  <c r="F38" i="1"/>
  <c r="F16" i="1"/>
  <c r="F20" i="2"/>
  <c r="F21" i="2"/>
  <c r="F13" i="2"/>
  <c r="F12" i="2"/>
  <c r="H11" i="1" l="1"/>
  <c r="G11" i="1"/>
  <c r="H18" i="2"/>
  <c r="J18" i="2"/>
  <c r="I18" i="2"/>
  <c r="J11" i="1"/>
  <c r="F37" i="1"/>
  <c r="F15" i="1" l="1"/>
  <c r="F16" i="2"/>
  <c r="F43" i="1"/>
  <c r="F21" i="1"/>
  <c r="F40" i="1" l="1"/>
  <c r="F39" i="1"/>
  <c r="F18" i="1"/>
  <c r="F17" i="1"/>
  <c r="F17" i="2" l="1"/>
  <c r="F18" i="2" s="1"/>
  <c r="G19" i="2"/>
  <c r="H19" i="2"/>
  <c r="F35" i="1"/>
  <c r="J21" i="2" l="1"/>
  <c r="I21" i="2"/>
  <c r="H21" i="2"/>
  <c r="G21" i="2"/>
  <c r="J25" i="2"/>
  <c r="I25" i="2"/>
  <c r="H25" i="2"/>
  <c r="G25" i="2"/>
  <c r="J24" i="2"/>
  <c r="I24" i="2"/>
  <c r="H24" i="2"/>
  <c r="G24" i="2"/>
  <c r="G26" i="2" l="1"/>
  <c r="J26" i="2"/>
  <c r="I26" i="2"/>
  <c r="H26" i="2"/>
  <c r="J19" i="2"/>
  <c r="I19" i="2"/>
  <c r="J11" i="2" l="1"/>
  <c r="G11" i="2"/>
  <c r="H11" i="2"/>
  <c r="I11" i="2"/>
  <c r="J35" i="1"/>
  <c r="J36" i="1" s="1"/>
  <c r="I35" i="1"/>
  <c r="I36" i="1" s="1"/>
  <c r="H35" i="1"/>
  <c r="H36" i="1" s="1"/>
  <c r="G35" i="1"/>
  <c r="G36" i="1" s="1"/>
  <c r="J33" i="1"/>
  <c r="I33" i="1"/>
  <c r="I45" i="1"/>
  <c r="J13" i="1"/>
  <c r="J14" i="1" s="1"/>
  <c r="I13" i="1"/>
  <c r="I14" i="1" s="1"/>
  <c r="H13" i="1"/>
  <c r="H14" i="1" s="1"/>
  <c r="G13" i="1"/>
  <c r="G14" i="1" s="1"/>
  <c r="H33" i="1" l="1"/>
  <c r="J45" i="1"/>
  <c r="G33" i="1"/>
  <c r="H23" i="1"/>
  <c r="I23" i="1"/>
  <c r="J23" i="1"/>
  <c r="G45" i="1"/>
  <c r="H45" i="1"/>
</calcChain>
</file>

<file path=xl/sharedStrings.xml><?xml version="1.0" encoding="utf-8"?>
<sst xmlns="http://schemas.openxmlformats.org/spreadsheetml/2006/main" count="196" uniqueCount="64">
  <si>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</si>
  <si>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</si>
  <si>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</si>
  <si>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</si>
  <si>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</si>
  <si>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</si>
  <si>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</si>
  <si>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</si>
  <si>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</si>
  <si>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</si>
  <si>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</si>
  <si>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</si>
  <si>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</si>
  <si>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</si>
  <si>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</si>
  <si>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</si>
  <si>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</si>
  <si>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</si>
  <si>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</si>
  <si>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</si>
  <si>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</si>
  <si>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</si>
  <si>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</si>
  <si>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</si>
  <si>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</si>
  <si>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</si>
  <si>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</si>
  <si>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</si>
  <si>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</si>
  <si>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</si>
  <si>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</si>
  <si>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</si>
  <si>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</si>
  <si>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</si>
  <si>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</si>
  <si>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</si>
  <si>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</si>
  <si>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</si>
  <si>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</si>
  <si>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</si>
  <si>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</si>
  <si>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</si>
  <si>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</si>
  <si>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</si>
  <si>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</si>
  <si>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</si>
  <si>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</si>
  <si>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100/80</t>
  </si>
  <si>
    <t>120</t>
  </si>
  <si>
    <t>Щи из свежей капусты со сметаной и мясом тушеной говядины</t>
  </si>
  <si>
    <t xml:space="preserve">Щи из свежей капусты со сметаной и мясом </t>
  </si>
  <si>
    <t>20</t>
  </si>
  <si>
    <t>30</t>
  </si>
  <si>
    <t>240/5/10</t>
  </si>
  <si>
    <t>32</t>
  </si>
  <si>
    <t>Яблоко</t>
  </si>
  <si>
    <t>Масло сливочное</t>
  </si>
  <si>
    <t>60</t>
  </si>
  <si>
    <t>Тефтели</t>
  </si>
  <si>
    <t>80/70</t>
  </si>
  <si>
    <t>28</t>
  </si>
  <si>
    <t>27</t>
  </si>
  <si>
    <t>Мармелад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</si>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</sst>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Protection="1"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2" fontId="3" fillId="0" borderId="6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3" fillId="0" borderId="1" xfId="0" applyNumberFormat="1" applyFont="1" applyBorder="1" applyProtection="1">
      <protection locked="0"/>
    </xf>
    <xf numFmtId="2" fontId="3" fillId="0" borderId="9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2" fontId="3" fillId="0" borderId="14" xfId="0" applyNumberFormat="1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wrapText="1"/>
      <protection locked="0"/>
    </xf>
    <xf numFmtId="2" fontId="3" fillId="0" borderId="16" xfId="0" applyNumberFormat="1" applyFont="1" applyBorder="1" applyProtection="1">
      <protection locked="0"/>
    </xf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0" fontId="5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3" fillId="0" borderId="19" xfId="0" applyNumberFormat="1" applyFont="1" applyBorder="1"/>
    <xf numFmtId="0" fontId="3" fillId="0" borderId="11" xfId="0" applyFont="1" applyBorder="1"/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2" fontId="3" fillId="0" borderId="11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2" fontId="6" fillId="0" borderId="6" xfId="0" applyNumberFormat="1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2" fontId="6" fillId="0" borderId="14" xfId="0" applyNumberFormat="1" applyFont="1" applyBorder="1" applyProtection="1">
      <protection locked="0"/>
    </xf>
    <xf numFmtId="2" fontId="6" fillId="0" borderId="16" xfId="0" applyNumberFormat="1" applyFont="1" applyBorder="1" applyProtection="1">
      <protection locked="0"/>
    </xf>
    <xf numFmtId="2" fontId="6" fillId="0" borderId="18" xfId="0" applyNumberFormat="1" applyFont="1" applyBorder="1"/>
    <xf numFmtId="2" fontId="6" fillId="0" borderId="11" xfId="0" applyNumberFormat="1" applyFont="1" applyBorder="1" applyProtection="1"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0" fillId="0" borderId="11" xfId="0" applyBorder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2" fontId="3" fillId="0" borderId="22" xfId="0" applyNumberFormat="1" applyFont="1" applyBorder="1" applyProtection="1"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Protection="1"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9"/>
  <sheetViews>
    <sheetView zoomScale="115" zoomScaleNormal="115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0" bestFit="1" customWidth="1"/>
    <col min="6" max="6" width="8.7109375" bestFit="1" customWidth="1"/>
    <col min="7" max="7" width="7.7109375" customWidth="1"/>
    <col min="8" max="8" width="6.140625" bestFit="1" customWidth="1"/>
    <col min="9" max="9" width="13.28515625" customWidth="1"/>
    <col min="10" max="10" width="8.5703125" customWidth="1"/>
  </cols>
  <sheetData>
    <row r="1" spans="1:10" ht="28.9" customHeight="1" x14ac:dyDescent="0.25">
      <c r="A1" t="s">
        <v>0</v>
      </c>
      <c r="B1" s="129" t="s">
        <v>63</v>
      </c>
      <c r="C1" s="130"/>
      <c r="D1" s="131"/>
      <c r="E1" s="30" t="s">
        <v>41</v>
      </c>
      <c r="F1" s="29"/>
      <c r="H1" t="s">
        <v>1</v>
      </c>
      <c r="I1" s="28">
        <v>44970</v>
      </c>
    </row>
    <row r="2" spans="1:10" ht="15.75" thickBot="1" x14ac:dyDescent="0.3">
      <c r="B2" s="1" t="s">
        <v>33</v>
      </c>
    </row>
    <row r="3" spans="1:10" s="36" customFormat="1" ht="30.75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7" t="s">
        <v>21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30" x14ac:dyDescent="0.25">
      <c r="A4" s="5" t="s">
        <v>10</v>
      </c>
      <c r="B4" s="6" t="s">
        <v>11</v>
      </c>
      <c r="C4" s="7">
        <v>53</v>
      </c>
      <c r="D4" s="8" t="s">
        <v>34</v>
      </c>
      <c r="E4" s="38">
        <v>250</v>
      </c>
      <c r="F4" s="39">
        <f>14.48*250/200</f>
        <v>18.100000000000001</v>
      </c>
      <c r="G4" s="9">
        <v>146</v>
      </c>
      <c r="H4" s="9">
        <v>5.7</v>
      </c>
      <c r="I4" s="9">
        <v>5.28</v>
      </c>
      <c r="J4" s="10">
        <v>18.88</v>
      </c>
    </row>
    <row r="5" spans="1:10" x14ac:dyDescent="0.25">
      <c r="A5" s="11"/>
      <c r="B5" s="12" t="s">
        <v>12</v>
      </c>
      <c r="C5" s="13">
        <v>30</v>
      </c>
      <c r="D5" s="14" t="s">
        <v>35</v>
      </c>
      <c r="E5" s="40">
        <v>200</v>
      </c>
      <c r="F5" s="41">
        <v>2.31</v>
      </c>
      <c r="G5" s="15">
        <v>43</v>
      </c>
      <c r="H5" s="15">
        <v>0.06</v>
      </c>
      <c r="I5" s="15">
        <v>0.01</v>
      </c>
      <c r="J5" s="16">
        <v>10.220000000000001</v>
      </c>
    </row>
    <row r="6" spans="1:10" x14ac:dyDescent="0.25">
      <c r="A6" s="11"/>
      <c r="B6" s="27" t="s">
        <v>18</v>
      </c>
      <c r="C6" s="13" t="s">
        <v>22</v>
      </c>
      <c r="D6" s="14" t="s">
        <v>23</v>
      </c>
      <c r="E6" s="40">
        <v>23</v>
      </c>
      <c r="F6" s="41">
        <v>1.1399999999999999</v>
      </c>
      <c r="G6" s="15">
        <f>40*23/20</f>
        <v>46</v>
      </c>
      <c r="H6" s="15">
        <f>0.98*23/20</f>
        <v>1.127</v>
      </c>
      <c r="I6" s="15">
        <f>0.2*23/20</f>
        <v>0.23000000000000004</v>
      </c>
      <c r="J6" s="16">
        <f>8.95*23/20</f>
        <v>10.2925</v>
      </c>
    </row>
    <row r="7" spans="1:10" x14ac:dyDescent="0.25">
      <c r="A7" s="11"/>
      <c r="B7" s="12" t="s">
        <v>19</v>
      </c>
      <c r="C7" s="13" t="s">
        <v>22</v>
      </c>
      <c r="D7" s="14" t="s">
        <v>24</v>
      </c>
      <c r="E7" s="40">
        <v>23</v>
      </c>
      <c r="F7" s="41">
        <f>96.75*0.023</f>
        <v>2.22525</v>
      </c>
      <c r="G7" s="15">
        <f>41.6*23/20</f>
        <v>47.84</v>
      </c>
      <c r="H7" s="15">
        <f>1.6*23/20</f>
        <v>1.8400000000000003</v>
      </c>
      <c r="I7" s="15">
        <f>0.03*23/20</f>
        <v>3.4499999999999996E-2</v>
      </c>
      <c r="J7" s="16">
        <f>8.02*23/20</f>
        <v>9.222999999999999</v>
      </c>
    </row>
    <row r="8" spans="1:10" x14ac:dyDescent="0.25">
      <c r="A8" s="11"/>
      <c r="B8" s="18" t="s">
        <v>25</v>
      </c>
      <c r="C8" s="19" t="s">
        <v>22</v>
      </c>
      <c r="D8" s="20" t="s">
        <v>55</v>
      </c>
      <c r="E8" s="42">
        <v>95</v>
      </c>
      <c r="F8" s="43">
        <f>156*0.095</f>
        <v>14.82</v>
      </c>
      <c r="G8" s="21">
        <f>96*1.25</f>
        <v>120</v>
      </c>
      <c r="H8" s="21">
        <f>1.5*1.25</f>
        <v>1.875</v>
      </c>
      <c r="I8" s="21">
        <f>0.5*1.25</f>
        <v>0.625</v>
      </c>
      <c r="J8" s="22">
        <f>21*1.25</f>
        <v>26.25</v>
      </c>
    </row>
    <row r="9" spans="1:10" x14ac:dyDescent="0.25">
      <c r="A9" s="11"/>
      <c r="B9" s="18" t="s">
        <v>25</v>
      </c>
      <c r="C9" s="19">
        <v>3</v>
      </c>
      <c r="D9" s="20" t="s">
        <v>56</v>
      </c>
      <c r="E9" s="42">
        <v>10</v>
      </c>
      <c r="F9" s="43">
        <v>9.82</v>
      </c>
      <c r="G9" s="21">
        <v>64.7</v>
      </c>
      <c r="H9" s="21">
        <v>0.08</v>
      </c>
      <c r="I9" s="21">
        <v>7.15</v>
      </c>
      <c r="J9" s="22">
        <v>0.12</v>
      </c>
    </row>
    <row r="10" spans="1:10" x14ac:dyDescent="0.25">
      <c r="A10" s="11"/>
      <c r="B10" s="18" t="s">
        <v>25</v>
      </c>
      <c r="C10" s="13">
        <v>6</v>
      </c>
      <c r="D10" s="14" t="s">
        <v>26</v>
      </c>
      <c r="E10" s="40">
        <v>12</v>
      </c>
      <c r="F10" s="41">
        <f>10.11*12/12</f>
        <v>10.11</v>
      </c>
      <c r="G10" s="15">
        <f>36*12/12</f>
        <v>36</v>
      </c>
      <c r="H10" s="15">
        <f>1.36*12/12</f>
        <v>1.36</v>
      </c>
      <c r="I10" s="15">
        <f>2.76*12/12</f>
        <v>2.76</v>
      </c>
      <c r="J10" s="16">
        <f>0.31*12/12</f>
        <v>0.31</v>
      </c>
    </row>
    <row r="11" spans="1:10" ht="15.75" thickBot="1" x14ac:dyDescent="0.3">
      <c r="A11" s="11"/>
      <c r="B11" s="23"/>
      <c r="C11" s="24"/>
      <c r="D11" s="25"/>
      <c r="E11" s="44"/>
      <c r="F11" s="45">
        <v>58.52</v>
      </c>
      <c r="G11" s="26">
        <f>SUM(G4:G10)</f>
        <v>503.54</v>
      </c>
      <c r="H11" s="26">
        <f>SUM(H4:H10)</f>
        <v>12.042</v>
      </c>
      <c r="I11" s="26">
        <f>SUM(I4:I10)</f>
        <v>16.089500000000001</v>
      </c>
      <c r="J11" s="116">
        <f>SUM(J4:J10)</f>
        <v>75.295500000000004</v>
      </c>
    </row>
    <row r="12" spans="1:10" x14ac:dyDescent="0.25">
      <c r="A12" s="5" t="s">
        <v>27</v>
      </c>
      <c r="B12" s="6"/>
      <c r="C12" s="7">
        <v>25</v>
      </c>
      <c r="D12" s="8" t="s">
        <v>31</v>
      </c>
      <c r="E12" s="38">
        <v>200</v>
      </c>
      <c r="F12" s="39">
        <v>11.82</v>
      </c>
      <c r="G12" s="9">
        <v>136</v>
      </c>
      <c r="H12" s="9">
        <v>0.6</v>
      </c>
      <c r="I12" s="9">
        <v>0</v>
      </c>
      <c r="J12" s="10">
        <v>33</v>
      </c>
    </row>
    <row r="13" spans="1:10" x14ac:dyDescent="0.25">
      <c r="A13" s="11"/>
      <c r="B13" s="17"/>
      <c r="C13" s="13">
        <v>76</v>
      </c>
      <c r="D13" s="14" t="s">
        <v>39</v>
      </c>
      <c r="E13" s="40">
        <v>100</v>
      </c>
      <c r="F13" s="41">
        <v>34.81</v>
      </c>
      <c r="G13" s="15">
        <f>245*1.05</f>
        <v>257.25</v>
      </c>
      <c r="H13" s="15">
        <f>12.45*1.05</f>
        <v>13.0725</v>
      </c>
      <c r="I13" s="15">
        <f>8.59*1.05</f>
        <v>9.0195000000000007</v>
      </c>
      <c r="J13" s="16">
        <f>6.33*1.05</f>
        <v>6.6465000000000005</v>
      </c>
    </row>
    <row r="14" spans="1:10" ht="15.75" thickBot="1" x14ac:dyDescent="0.3">
      <c r="A14" s="117"/>
      <c r="B14" s="18"/>
      <c r="C14" s="19"/>
      <c r="D14" s="20"/>
      <c r="E14" s="42"/>
      <c r="F14" s="43">
        <v>43.9</v>
      </c>
      <c r="G14" s="21">
        <f>SUM(G12:G13)</f>
        <v>393.25</v>
      </c>
      <c r="H14" s="21">
        <f t="shared" ref="H14:J14" si="0">SUM(H12:H13)</f>
        <v>13.672499999999999</v>
      </c>
      <c r="I14" s="21">
        <f t="shared" si="0"/>
        <v>9.0195000000000007</v>
      </c>
      <c r="J14" s="22">
        <f t="shared" si="0"/>
        <v>39.646500000000003</v>
      </c>
    </row>
    <row r="15" spans="1:10" x14ac:dyDescent="0.25">
      <c r="A15" s="5" t="s">
        <v>13</v>
      </c>
      <c r="B15" s="110" t="s">
        <v>14</v>
      </c>
      <c r="C15" s="111">
        <v>27</v>
      </c>
      <c r="D15" s="112" t="s">
        <v>36</v>
      </c>
      <c r="E15" s="113" t="s">
        <v>57</v>
      </c>
      <c r="F15" s="114">
        <f>10.02*60/60</f>
        <v>10.02</v>
      </c>
      <c r="G15" s="115">
        <v>71.400000000000006</v>
      </c>
      <c r="H15" s="9">
        <v>1.1399999999999999</v>
      </c>
      <c r="I15" s="9">
        <v>5.34</v>
      </c>
      <c r="J15" s="10">
        <v>4.62</v>
      </c>
    </row>
    <row r="16" spans="1:10" ht="30" x14ac:dyDescent="0.25">
      <c r="A16" s="11"/>
      <c r="B16" s="12" t="s">
        <v>15</v>
      </c>
      <c r="C16" s="13">
        <v>33</v>
      </c>
      <c r="D16" s="72" t="s">
        <v>50</v>
      </c>
      <c r="E16" s="47" t="s">
        <v>53</v>
      </c>
      <c r="F16" s="41">
        <f>11.39*240/250+1.84+9.32*1</f>
        <v>22.0944</v>
      </c>
      <c r="G16" s="15">
        <f>108.75</f>
        <v>108.75</v>
      </c>
      <c r="H16" s="15">
        <f>1.72</f>
        <v>1.72</v>
      </c>
      <c r="I16" s="15">
        <f>6.18</f>
        <v>6.18</v>
      </c>
      <c r="J16" s="16">
        <f>11.66</f>
        <v>11.66</v>
      </c>
    </row>
    <row r="17" spans="1:10" x14ac:dyDescent="0.25">
      <c r="A17" s="11"/>
      <c r="B17" s="12" t="s">
        <v>16</v>
      </c>
      <c r="C17" s="13">
        <v>23</v>
      </c>
      <c r="D17" s="14" t="s">
        <v>32</v>
      </c>
      <c r="E17" s="47" t="s">
        <v>46</v>
      </c>
      <c r="F17" s="41">
        <f>36.21*90/90</f>
        <v>36.21</v>
      </c>
      <c r="G17" s="15">
        <f>103*90/90</f>
        <v>103</v>
      </c>
      <c r="H17" s="15">
        <f>12.92*90/90</f>
        <v>12.92</v>
      </c>
      <c r="I17" s="15">
        <f>2.28*9/90</f>
        <v>0.22800000000000001</v>
      </c>
      <c r="J17" s="16">
        <f>8.31*90/90</f>
        <v>8.31</v>
      </c>
    </row>
    <row r="18" spans="1:10" ht="30" x14ac:dyDescent="0.25">
      <c r="A18" s="11"/>
      <c r="B18" s="18" t="s">
        <v>25</v>
      </c>
      <c r="C18" s="13">
        <v>15</v>
      </c>
      <c r="D18" s="14" t="s">
        <v>37</v>
      </c>
      <c r="E18" s="47" t="s">
        <v>40</v>
      </c>
      <c r="F18" s="41">
        <f>3*25/25</f>
        <v>3</v>
      </c>
      <c r="G18" s="15">
        <f>21.25</f>
        <v>21.25</v>
      </c>
      <c r="H18" s="15">
        <f>0.45</f>
        <v>0.45</v>
      </c>
      <c r="I18" s="15">
        <f>1.31</f>
        <v>1.31</v>
      </c>
      <c r="J18" s="16">
        <f>1.92</f>
        <v>1.92</v>
      </c>
    </row>
    <row r="19" spans="1:10" x14ac:dyDescent="0.25">
      <c r="A19" s="11"/>
      <c r="B19" s="12" t="s">
        <v>17</v>
      </c>
      <c r="C19" s="13">
        <v>32</v>
      </c>
      <c r="D19" s="14" t="s">
        <v>38</v>
      </c>
      <c r="E19" s="47" t="s">
        <v>59</v>
      </c>
      <c r="F19" s="41">
        <f>7.54*80/80+12.21*70/70</f>
        <v>19.75</v>
      </c>
      <c r="G19" s="15">
        <f>183.25</f>
        <v>183.25</v>
      </c>
      <c r="H19" s="15">
        <f>3.35</f>
        <v>3.35</v>
      </c>
      <c r="I19" s="15">
        <f>6.98</f>
        <v>6.98</v>
      </c>
      <c r="J19" s="16">
        <f>22.19</f>
        <v>22.19</v>
      </c>
    </row>
    <row r="20" spans="1:10" x14ac:dyDescent="0.25">
      <c r="A20" s="11"/>
      <c r="B20" s="12" t="s">
        <v>28</v>
      </c>
      <c r="C20" s="13">
        <v>35</v>
      </c>
      <c r="D20" s="14" t="s">
        <v>30</v>
      </c>
      <c r="E20" s="47">
        <v>200</v>
      </c>
      <c r="F20" s="41">
        <v>6.66</v>
      </c>
      <c r="G20" s="15">
        <f>97</f>
        <v>97</v>
      </c>
      <c r="H20" s="15">
        <f>0.68</f>
        <v>0.68</v>
      </c>
      <c r="I20" s="15">
        <f>0.28</f>
        <v>0.28000000000000003</v>
      </c>
      <c r="J20" s="16">
        <f>19.64</f>
        <v>19.64</v>
      </c>
    </row>
    <row r="21" spans="1:10" x14ac:dyDescent="0.25">
      <c r="A21" s="11"/>
      <c r="B21" s="12" t="s">
        <v>19</v>
      </c>
      <c r="C21" s="13" t="s">
        <v>22</v>
      </c>
      <c r="D21" s="14" t="s">
        <v>29</v>
      </c>
      <c r="E21" s="47" t="s">
        <v>52</v>
      </c>
      <c r="F21" s="41">
        <f>64.8*0.03</f>
        <v>1.944</v>
      </c>
      <c r="G21" s="15">
        <f>62.4*30/30</f>
        <v>62.4</v>
      </c>
      <c r="H21" s="15">
        <f>2.4*30/30</f>
        <v>2.4</v>
      </c>
      <c r="I21" s="15">
        <f>0.45*30/30</f>
        <v>0.45</v>
      </c>
      <c r="J21" s="16">
        <f>11.37*30/30</f>
        <v>11.37</v>
      </c>
    </row>
    <row r="22" spans="1:10" x14ac:dyDescent="0.25">
      <c r="A22" s="11"/>
      <c r="B22" s="27" t="s">
        <v>18</v>
      </c>
      <c r="C22" s="19" t="s">
        <v>22</v>
      </c>
      <c r="D22" s="20" t="s">
        <v>23</v>
      </c>
      <c r="E22" s="48" t="s">
        <v>52</v>
      </c>
      <c r="F22" s="43">
        <v>1.37</v>
      </c>
      <c r="G22" s="21">
        <v>60</v>
      </c>
      <c r="H22" s="21">
        <v>1.47</v>
      </c>
      <c r="I22" s="21">
        <v>0.3</v>
      </c>
      <c r="J22" s="22">
        <v>13.44</v>
      </c>
    </row>
    <row r="23" spans="1:10" ht="15.75" thickBot="1" x14ac:dyDescent="0.3">
      <c r="A23" s="118"/>
      <c r="B23" s="119"/>
      <c r="C23" s="120"/>
      <c r="D23" s="120"/>
      <c r="E23" s="121"/>
      <c r="F23" s="122">
        <v>87.79</v>
      </c>
      <c r="G23" s="123">
        <f>SUM(G15:G22)</f>
        <v>707.05</v>
      </c>
      <c r="H23" s="123">
        <f t="shared" ref="H23:J23" si="1">SUM(H15:H22)</f>
        <v>24.13</v>
      </c>
      <c r="I23" s="123">
        <f t="shared" si="1"/>
        <v>21.068000000000001</v>
      </c>
      <c r="J23" s="124">
        <f t="shared" si="1"/>
        <v>93.15</v>
      </c>
    </row>
    <row r="24" spans="1:10" ht="15.75" thickBot="1" x14ac:dyDescent="0.3">
      <c r="B24" s="1" t="s">
        <v>42</v>
      </c>
      <c r="E24" s="49"/>
      <c r="F24" s="50"/>
    </row>
    <row r="25" spans="1:10" ht="30.75" thickBot="1" x14ac:dyDescent="0.3">
      <c r="A25" s="2" t="s">
        <v>2</v>
      </c>
      <c r="B25" s="3" t="s">
        <v>3</v>
      </c>
      <c r="C25" s="3" t="s">
        <v>20</v>
      </c>
      <c r="D25" s="3" t="s">
        <v>4</v>
      </c>
      <c r="E25" s="51" t="s">
        <v>21</v>
      </c>
      <c r="F25" s="51" t="s">
        <v>5</v>
      </c>
      <c r="G25" s="31" t="s">
        <v>6</v>
      </c>
      <c r="H25" s="3" t="s">
        <v>7</v>
      </c>
      <c r="I25" s="3" t="s">
        <v>8</v>
      </c>
      <c r="J25" s="4" t="s">
        <v>9</v>
      </c>
    </row>
    <row r="26" spans="1:10" ht="30" x14ac:dyDescent="0.25">
      <c r="A26" s="5" t="s">
        <v>10</v>
      </c>
      <c r="B26" s="6" t="s">
        <v>11</v>
      </c>
      <c r="C26" s="7">
        <v>53</v>
      </c>
      <c r="D26" s="8" t="s">
        <v>34</v>
      </c>
      <c r="E26" s="38">
        <v>250</v>
      </c>
      <c r="F26" s="39">
        <f>14.48*250/200</f>
        <v>18.100000000000001</v>
      </c>
      <c r="G26" s="9">
        <v>146</v>
      </c>
      <c r="H26" s="9">
        <v>5.7</v>
      </c>
      <c r="I26" s="9">
        <v>5.28</v>
      </c>
      <c r="J26" s="10">
        <v>18.88</v>
      </c>
    </row>
    <row r="27" spans="1:10" x14ac:dyDescent="0.25">
      <c r="A27" s="11"/>
      <c r="B27" s="12" t="s">
        <v>12</v>
      </c>
      <c r="C27" s="13">
        <v>30</v>
      </c>
      <c r="D27" s="14" t="s">
        <v>35</v>
      </c>
      <c r="E27" s="40">
        <v>200</v>
      </c>
      <c r="F27" s="41">
        <v>2.31</v>
      </c>
      <c r="G27" s="15">
        <v>43</v>
      </c>
      <c r="H27" s="15">
        <v>0.06</v>
      </c>
      <c r="I27" s="15">
        <v>0.01</v>
      </c>
      <c r="J27" s="16">
        <v>10.220000000000001</v>
      </c>
    </row>
    <row r="28" spans="1:10" x14ac:dyDescent="0.25">
      <c r="A28" s="11"/>
      <c r="B28" s="27" t="s">
        <v>18</v>
      </c>
      <c r="C28" s="13" t="s">
        <v>22</v>
      </c>
      <c r="D28" s="14" t="s">
        <v>23</v>
      </c>
      <c r="E28" s="40">
        <v>32</v>
      </c>
      <c r="F28" s="41">
        <f>50.71*0.032</f>
        <v>1.6227200000000002</v>
      </c>
      <c r="G28" s="15">
        <f>60*32/30</f>
        <v>64</v>
      </c>
      <c r="H28" s="15">
        <f>1.47*32/30</f>
        <v>1.5680000000000001</v>
      </c>
      <c r="I28" s="15">
        <f>0.3*32/30</f>
        <v>0.32</v>
      </c>
      <c r="J28" s="16">
        <f>12.03*32/30</f>
        <v>12.831999999999999</v>
      </c>
    </row>
    <row r="29" spans="1:10" x14ac:dyDescent="0.25">
      <c r="A29" s="11"/>
      <c r="B29" s="12" t="s">
        <v>19</v>
      </c>
      <c r="C29" s="13" t="s">
        <v>22</v>
      </c>
      <c r="D29" s="14" t="s">
        <v>24</v>
      </c>
      <c r="E29" s="40">
        <v>33</v>
      </c>
      <c r="F29" s="41">
        <f>96.75*0.033</f>
        <v>3.1927500000000002</v>
      </c>
      <c r="G29" s="15">
        <f>62.4*33/30</f>
        <v>68.64</v>
      </c>
      <c r="H29" s="15">
        <f>2.4*33/30</f>
        <v>2.64</v>
      </c>
      <c r="I29" s="15">
        <f>0.05*33/30</f>
        <v>5.5000000000000007E-2</v>
      </c>
      <c r="J29" s="16">
        <f>13.44*33/30</f>
        <v>14.783999999999999</v>
      </c>
    </row>
    <row r="30" spans="1:10" x14ac:dyDescent="0.25">
      <c r="A30" s="11"/>
      <c r="B30" s="18" t="s">
        <v>25</v>
      </c>
      <c r="C30" s="19" t="s">
        <v>22</v>
      </c>
      <c r="D30" s="20" t="s">
        <v>55</v>
      </c>
      <c r="E30" s="42">
        <v>95</v>
      </c>
      <c r="F30" s="43">
        <f>156*0.095</f>
        <v>14.82</v>
      </c>
      <c r="G30" s="21">
        <f>96*1.25</f>
        <v>120</v>
      </c>
      <c r="H30" s="21">
        <f>1.5*1.25</f>
        <v>1.875</v>
      </c>
      <c r="I30" s="21">
        <f>0.5*1.25</f>
        <v>0.625</v>
      </c>
      <c r="J30" s="22">
        <f>21*1.25</f>
        <v>26.25</v>
      </c>
    </row>
    <row r="31" spans="1:10" x14ac:dyDescent="0.25">
      <c r="A31" s="11"/>
      <c r="B31" s="18" t="s">
        <v>25</v>
      </c>
      <c r="C31" s="19">
        <v>3</v>
      </c>
      <c r="D31" s="20" t="s">
        <v>56</v>
      </c>
      <c r="E31" s="42">
        <v>10</v>
      </c>
      <c r="F31" s="43">
        <v>9.82</v>
      </c>
      <c r="G31" s="21">
        <v>64.7</v>
      </c>
      <c r="H31" s="21">
        <v>0.08</v>
      </c>
      <c r="I31" s="21">
        <v>7.15</v>
      </c>
      <c r="J31" s="22">
        <v>0.12</v>
      </c>
    </row>
    <row r="32" spans="1:10" x14ac:dyDescent="0.25">
      <c r="A32" s="11"/>
      <c r="B32" s="17" t="s">
        <v>25</v>
      </c>
      <c r="C32" s="13">
        <v>6</v>
      </c>
      <c r="D32" s="14" t="s">
        <v>26</v>
      </c>
      <c r="E32" s="40">
        <v>22</v>
      </c>
      <c r="F32" s="41">
        <f>12.44*22/15</f>
        <v>18.245333333333335</v>
      </c>
      <c r="G32" s="15">
        <f>45*22/15</f>
        <v>66</v>
      </c>
      <c r="H32" s="15">
        <f>3.07*22/15</f>
        <v>4.5026666666666664</v>
      </c>
      <c r="I32" s="15">
        <f>3.45*22/15</f>
        <v>5.0600000000000005</v>
      </c>
      <c r="J32" s="16">
        <f>0.38*22/15</f>
        <v>0.55733333333333335</v>
      </c>
    </row>
    <row r="33" spans="1:10" ht="15.75" thickBot="1" x14ac:dyDescent="0.3">
      <c r="A33" s="11"/>
      <c r="B33" s="23"/>
      <c r="C33" s="24"/>
      <c r="D33" s="25"/>
      <c r="E33" s="44"/>
      <c r="F33" s="45">
        <v>68.05</v>
      </c>
      <c r="G33" s="26">
        <f>SUM(G26:G32)</f>
        <v>572.33999999999992</v>
      </c>
      <c r="H33" s="26">
        <f>SUM(H26:H32)</f>
        <v>16.425666666666665</v>
      </c>
      <c r="I33" s="26">
        <f>SUM(I26:I32)</f>
        <v>18.5</v>
      </c>
      <c r="J33" s="116">
        <f>SUM(J26:J32)</f>
        <v>83.643333333333345</v>
      </c>
    </row>
    <row r="34" spans="1:10" x14ac:dyDescent="0.25">
      <c r="A34" s="5" t="s">
        <v>27</v>
      </c>
      <c r="B34" s="6"/>
      <c r="C34" s="7">
        <v>25</v>
      </c>
      <c r="D34" s="8" t="s">
        <v>31</v>
      </c>
      <c r="E34" s="38">
        <v>200</v>
      </c>
      <c r="F34" s="39">
        <v>11.82</v>
      </c>
      <c r="G34" s="9">
        <v>136</v>
      </c>
      <c r="H34" s="9">
        <v>0.6</v>
      </c>
      <c r="I34" s="9">
        <v>0</v>
      </c>
      <c r="J34" s="10">
        <v>33</v>
      </c>
    </row>
    <row r="35" spans="1:10" x14ac:dyDescent="0.25">
      <c r="A35" s="11"/>
      <c r="B35" s="17"/>
      <c r="C35" s="13">
        <v>76</v>
      </c>
      <c r="D35" s="14" t="s">
        <v>39</v>
      </c>
      <c r="E35" s="40">
        <v>120</v>
      </c>
      <c r="F35" s="41">
        <f>34.81*120/100</f>
        <v>41.772000000000006</v>
      </c>
      <c r="G35" s="15">
        <f>245*1.25</f>
        <v>306.25</v>
      </c>
      <c r="H35" s="15">
        <f>12.45*1.25</f>
        <v>15.5625</v>
      </c>
      <c r="I35" s="15">
        <f>8.59*1.25</f>
        <v>10.737500000000001</v>
      </c>
      <c r="J35" s="16">
        <f>6.33*1.25</f>
        <v>7.9124999999999996</v>
      </c>
    </row>
    <row r="36" spans="1:10" ht="15.75" thickBot="1" x14ac:dyDescent="0.3">
      <c r="A36" s="117"/>
      <c r="B36" s="18"/>
      <c r="C36" s="19"/>
      <c r="D36" s="20"/>
      <c r="E36" s="42"/>
      <c r="F36" s="43">
        <v>51.06</v>
      </c>
      <c r="G36" s="21">
        <f>SUM(G34:G35)</f>
        <v>442.25</v>
      </c>
      <c r="H36" s="21">
        <f t="shared" ref="H36" si="2">SUM(H34:H35)</f>
        <v>16.162500000000001</v>
      </c>
      <c r="I36" s="21">
        <f t="shared" ref="I36" si="3">SUM(I34:I35)</f>
        <v>10.737500000000001</v>
      </c>
      <c r="J36" s="22">
        <f t="shared" ref="J36" si="4">SUM(J34:J35)</f>
        <v>40.912500000000001</v>
      </c>
    </row>
    <row r="37" spans="1:10" x14ac:dyDescent="0.25">
      <c r="A37" s="5" t="s">
        <v>13</v>
      </c>
      <c r="B37" s="6" t="s">
        <v>14</v>
      </c>
      <c r="C37" s="7">
        <v>27</v>
      </c>
      <c r="D37" s="112" t="s">
        <v>36</v>
      </c>
      <c r="E37" s="46" t="s">
        <v>57</v>
      </c>
      <c r="F37" s="39">
        <f>16.7*60/100</f>
        <v>10.02</v>
      </c>
      <c r="G37" s="9">
        <f>119*60/100</f>
        <v>71.400000000000006</v>
      </c>
      <c r="H37" s="9">
        <f>1.9*60/100</f>
        <v>1.1399999999999999</v>
      </c>
      <c r="I37" s="9">
        <f>8.9*60/100</f>
        <v>5.34</v>
      </c>
      <c r="J37" s="10">
        <f>7.07*60/100</f>
        <v>4.2420000000000009</v>
      </c>
    </row>
    <row r="38" spans="1:10" ht="45" x14ac:dyDescent="0.25">
      <c r="A38" s="11"/>
      <c r="B38" s="12" t="s">
        <v>15</v>
      </c>
      <c r="C38" s="13">
        <v>33</v>
      </c>
      <c r="D38" s="72" t="s">
        <v>49</v>
      </c>
      <c r="E38" s="47" t="s">
        <v>53</v>
      </c>
      <c r="F38" s="41">
        <f>11.39*240/250+1.84+9.32*1</f>
        <v>22.0944</v>
      </c>
      <c r="G38" s="15">
        <f>108.75</f>
        <v>108.75</v>
      </c>
      <c r="H38" s="15">
        <f>1.72</f>
        <v>1.72</v>
      </c>
      <c r="I38" s="15">
        <f>6.18</f>
        <v>6.18</v>
      </c>
      <c r="J38" s="16">
        <f>11.66</f>
        <v>11.66</v>
      </c>
    </row>
    <row r="39" spans="1:10" x14ac:dyDescent="0.25">
      <c r="A39" s="11"/>
      <c r="B39" s="12" t="s">
        <v>16</v>
      </c>
      <c r="C39" s="13">
        <v>23</v>
      </c>
      <c r="D39" s="14" t="s">
        <v>32</v>
      </c>
      <c r="E39" s="47" t="s">
        <v>48</v>
      </c>
      <c r="F39" s="41">
        <f>48.64*120/120</f>
        <v>48.64</v>
      </c>
      <c r="G39" s="15">
        <f>137.33*120/120</f>
        <v>137.33000000000001</v>
      </c>
      <c r="H39" s="15">
        <f>17.23*120/120</f>
        <v>17.23</v>
      </c>
      <c r="I39" s="15">
        <f>3.04*120/120</f>
        <v>3.04</v>
      </c>
      <c r="J39" s="16">
        <f>11.04*120/120</f>
        <v>11.04</v>
      </c>
    </row>
    <row r="40" spans="1:10" ht="30" x14ac:dyDescent="0.25">
      <c r="A40" s="11"/>
      <c r="B40" s="12"/>
      <c r="C40" s="13">
        <v>15</v>
      </c>
      <c r="D40" s="14" t="s">
        <v>37</v>
      </c>
      <c r="E40" s="47" t="s">
        <v>40</v>
      </c>
      <c r="F40" s="41">
        <f>3*25/25</f>
        <v>3</v>
      </c>
      <c r="G40" s="15">
        <f>21.25</f>
        <v>21.25</v>
      </c>
      <c r="H40" s="15">
        <f>0.45</f>
        <v>0.45</v>
      </c>
      <c r="I40" s="15">
        <f>1.31</f>
        <v>1.31</v>
      </c>
      <c r="J40" s="16">
        <f>1.92</f>
        <v>1.92</v>
      </c>
    </row>
    <row r="41" spans="1:10" x14ac:dyDescent="0.25">
      <c r="A41" s="11"/>
      <c r="B41" s="12" t="s">
        <v>17</v>
      </c>
      <c r="C41" s="13">
        <v>32</v>
      </c>
      <c r="D41" s="14" t="s">
        <v>38</v>
      </c>
      <c r="E41" s="47" t="s">
        <v>47</v>
      </c>
      <c r="F41" s="41">
        <f>9.27*100/96+14.63*80/84</f>
        <v>23.589583333333334</v>
      </c>
      <c r="G41" s="15">
        <f>219.9</f>
        <v>219.9</v>
      </c>
      <c r="H41" s="15">
        <f>4.02</f>
        <v>4.0199999999999996</v>
      </c>
      <c r="I41" s="15">
        <f>8.38</f>
        <v>8.3800000000000008</v>
      </c>
      <c r="J41" s="16">
        <f>26.63</f>
        <v>26.63</v>
      </c>
    </row>
    <row r="42" spans="1:10" x14ac:dyDescent="0.25">
      <c r="A42" s="11"/>
      <c r="B42" s="12" t="s">
        <v>28</v>
      </c>
      <c r="C42" s="13">
        <v>35</v>
      </c>
      <c r="D42" s="14" t="s">
        <v>30</v>
      </c>
      <c r="E42" s="47">
        <v>200</v>
      </c>
      <c r="F42" s="41">
        <v>6.66</v>
      </c>
      <c r="G42" s="15">
        <f>97</f>
        <v>97</v>
      </c>
      <c r="H42" s="15">
        <f>0.68</f>
        <v>0.68</v>
      </c>
      <c r="I42" s="15">
        <f>0.28</f>
        <v>0.28000000000000003</v>
      </c>
      <c r="J42" s="16">
        <f>19.64</f>
        <v>19.64</v>
      </c>
    </row>
    <row r="43" spans="1:10" x14ac:dyDescent="0.25">
      <c r="A43" s="11"/>
      <c r="B43" s="12" t="s">
        <v>19</v>
      </c>
      <c r="C43" s="13" t="s">
        <v>22</v>
      </c>
      <c r="D43" s="14" t="s">
        <v>29</v>
      </c>
      <c r="E43" s="47" t="s">
        <v>54</v>
      </c>
      <c r="F43" s="41">
        <f>68*0.032</f>
        <v>2.1760000000000002</v>
      </c>
      <c r="G43" s="15">
        <v>83.2</v>
      </c>
      <c r="H43" s="15">
        <v>3.2</v>
      </c>
      <c r="I43" s="15">
        <v>0.06</v>
      </c>
      <c r="J43" s="16">
        <v>16.04</v>
      </c>
    </row>
    <row r="44" spans="1:10" x14ac:dyDescent="0.25">
      <c r="A44" s="11"/>
      <c r="B44" s="27" t="s">
        <v>18</v>
      </c>
      <c r="C44" s="19" t="s">
        <v>22</v>
      </c>
      <c r="D44" s="20" t="s">
        <v>23</v>
      </c>
      <c r="E44" s="48" t="s">
        <v>54</v>
      </c>
      <c r="F44" s="43">
        <v>1.38</v>
      </c>
      <c r="G44" s="21">
        <v>80</v>
      </c>
      <c r="H44" s="21">
        <v>1.96</v>
      </c>
      <c r="I44" s="21">
        <v>0.4</v>
      </c>
      <c r="J44" s="22">
        <v>17.920000000000002</v>
      </c>
    </row>
    <row r="45" spans="1:10" ht="15.75" thickBot="1" x14ac:dyDescent="0.3">
      <c r="A45" s="118"/>
      <c r="B45" s="119"/>
      <c r="C45" s="120"/>
      <c r="D45" s="120"/>
      <c r="E45" s="121"/>
      <c r="F45" s="122">
        <v>102.06</v>
      </c>
      <c r="G45" s="123">
        <f>SUM(G37:G44)</f>
        <v>818.83</v>
      </c>
      <c r="H45" s="123">
        <f t="shared" ref="H45" si="5">SUM(H37:H44)</f>
        <v>30.4</v>
      </c>
      <c r="I45" s="123">
        <f t="shared" ref="I45" si="6">SUM(I37:I44)</f>
        <v>24.99</v>
      </c>
      <c r="J45" s="124">
        <f t="shared" ref="J45" si="7">SUM(J37:J44)</f>
        <v>109.092</v>
      </c>
    </row>
    <row r="47" spans="1:10" x14ac:dyDescent="0.25">
      <c r="A47" s="50" t="s">
        <v>43</v>
      </c>
    </row>
    <row r="49" spans="1:1" x14ac:dyDescent="0.25">
      <c r="A49" s="50" t="s">
        <v>44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39 F17" unlockedFormula="1"/>
    <ignoredError sqref="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52" bestFit="1" customWidth="1"/>
    <col min="2" max="2" width="11.5703125" style="52" customWidth="1"/>
    <col min="3" max="3" width="7.140625" style="52" bestFit="1" customWidth="1"/>
    <col min="4" max="4" width="26.28515625" style="52" customWidth="1"/>
    <col min="5" max="5" width="8.140625" style="53" bestFit="1" customWidth="1"/>
    <col min="6" max="6" width="7.140625" style="52" bestFit="1" customWidth="1"/>
    <col min="7" max="7" width="7.7109375" style="52" customWidth="1"/>
    <col min="8" max="8" width="6.140625" style="52" bestFit="1" customWidth="1"/>
    <col min="9" max="9" width="11.7109375" style="52" customWidth="1"/>
    <col min="10" max="10" width="8.5703125" style="52" customWidth="1"/>
    <col min="11" max="16384" width="8.85546875" style="52"/>
  </cols>
  <sheetData>
    <row r="1" spans="1:10" ht="28.9" customHeight="1" x14ac:dyDescent="0.25">
      <c r="A1" s="52" t="s">
        <v>0</v>
      </c>
      <c r="B1" s="132" t="s">
        <v>63</v>
      </c>
      <c r="C1" s="133"/>
      <c r="D1" s="134"/>
      <c r="E1" s="53" t="s">
        <v>41</v>
      </c>
      <c r="F1" s="54"/>
      <c r="H1" s="52" t="s">
        <v>1</v>
      </c>
      <c r="I1" s="55">
        <v>44970</v>
      </c>
    </row>
    <row r="2" spans="1:10" ht="15.75" thickBot="1" x14ac:dyDescent="0.3">
      <c r="B2" s="56" t="s">
        <v>45</v>
      </c>
    </row>
    <row r="3" spans="1:10" s="62" customFormat="1" ht="30.75" thickBot="1" x14ac:dyDescent="0.3">
      <c r="A3" s="57" t="s">
        <v>2</v>
      </c>
      <c r="B3" s="58" t="s">
        <v>3</v>
      </c>
      <c r="C3" s="58" t="s">
        <v>20</v>
      </c>
      <c r="D3" s="58" t="s">
        <v>4</v>
      </c>
      <c r="E3" s="59" t="s">
        <v>21</v>
      </c>
      <c r="F3" s="59" t="s">
        <v>5</v>
      </c>
      <c r="G3" s="60" t="s">
        <v>6</v>
      </c>
      <c r="H3" s="58" t="s">
        <v>7</v>
      </c>
      <c r="I3" s="58" t="s">
        <v>8</v>
      </c>
      <c r="J3" s="61" t="s">
        <v>9</v>
      </c>
    </row>
    <row r="4" spans="1:10" ht="30" x14ac:dyDescent="0.25">
      <c r="A4" s="63"/>
      <c r="B4" s="64" t="s">
        <v>11</v>
      </c>
      <c r="C4" s="65">
        <v>53</v>
      </c>
      <c r="D4" s="66" t="s">
        <v>34</v>
      </c>
      <c r="E4" s="101">
        <v>250</v>
      </c>
      <c r="F4" s="95">
        <f>19.26*250/200</f>
        <v>24.074999999999999</v>
      </c>
      <c r="G4" s="9">
        <v>146</v>
      </c>
      <c r="H4" s="9">
        <v>5.7</v>
      </c>
      <c r="I4" s="9">
        <v>5.28</v>
      </c>
      <c r="J4" s="10">
        <v>18.88</v>
      </c>
    </row>
    <row r="5" spans="1:10" ht="15.75" x14ac:dyDescent="0.25">
      <c r="A5" s="69"/>
      <c r="B5" s="70" t="s">
        <v>12</v>
      </c>
      <c r="C5" s="71">
        <v>30</v>
      </c>
      <c r="D5" s="72" t="s">
        <v>35</v>
      </c>
      <c r="E5" s="102">
        <v>200</v>
      </c>
      <c r="F5" s="96">
        <v>3.75</v>
      </c>
      <c r="G5" s="15">
        <v>43</v>
      </c>
      <c r="H5" s="15">
        <v>0.06</v>
      </c>
      <c r="I5" s="15">
        <v>0.01</v>
      </c>
      <c r="J5" s="16">
        <v>10.220000000000001</v>
      </c>
    </row>
    <row r="6" spans="1:10" ht="15.75" x14ac:dyDescent="0.25">
      <c r="A6" s="69"/>
      <c r="B6" s="83" t="s">
        <v>18</v>
      </c>
      <c r="C6" s="71" t="s">
        <v>22</v>
      </c>
      <c r="D6" s="72" t="s">
        <v>23</v>
      </c>
      <c r="E6" s="102">
        <v>22</v>
      </c>
      <c r="F6" s="96">
        <v>1.29</v>
      </c>
      <c r="G6" s="15">
        <f>40*23/20</f>
        <v>46</v>
      </c>
      <c r="H6" s="15">
        <f>0.98*23/20</f>
        <v>1.127</v>
      </c>
      <c r="I6" s="15">
        <f>0.2*23/20</f>
        <v>0.23000000000000004</v>
      </c>
      <c r="J6" s="16">
        <f>8.95*23/20</f>
        <v>10.2925</v>
      </c>
    </row>
    <row r="7" spans="1:10" ht="15.75" x14ac:dyDescent="0.25">
      <c r="A7" s="69"/>
      <c r="B7" s="70" t="s">
        <v>19</v>
      </c>
      <c r="C7" s="71" t="s">
        <v>22</v>
      </c>
      <c r="D7" s="72" t="s">
        <v>24</v>
      </c>
      <c r="E7" s="102">
        <v>22</v>
      </c>
      <c r="F7" s="96">
        <f>116.1*0.022</f>
        <v>2.5541999999999998</v>
      </c>
      <c r="G7" s="15">
        <f>41.6*23/20</f>
        <v>47.84</v>
      </c>
      <c r="H7" s="15">
        <f>1.6*23/20</f>
        <v>1.8400000000000003</v>
      </c>
      <c r="I7" s="15">
        <f>0.03*23/20</f>
        <v>3.4499999999999996E-2</v>
      </c>
      <c r="J7" s="16">
        <f>8.02*23/20</f>
        <v>9.222999999999999</v>
      </c>
    </row>
    <row r="8" spans="1:10" ht="15.75" x14ac:dyDescent="0.25">
      <c r="A8" s="69"/>
      <c r="B8" s="18" t="s">
        <v>25</v>
      </c>
      <c r="C8" s="19" t="s">
        <v>22</v>
      </c>
      <c r="D8" s="20" t="s">
        <v>55</v>
      </c>
      <c r="E8" s="126">
        <v>95</v>
      </c>
      <c r="F8" s="127">
        <f>156*0.095*1.33</f>
        <v>19.710600000000003</v>
      </c>
      <c r="G8" s="21">
        <f>96*1.25</f>
        <v>120</v>
      </c>
      <c r="H8" s="21">
        <f>1.5*1.25</f>
        <v>1.875</v>
      </c>
      <c r="I8" s="21">
        <f>0.5*1.25</f>
        <v>0.625</v>
      </c>
      <c r="J8" s="22">
        <f>21*1.25</f>
        <v>26.25</v>
      </c>
    </row>
    <row r="9" spans="1:10" ht="15.75" x14ac:dyDescent="0.25">
      <c r="A9" s="69"/>
      <c r="B9" s="18" t="s">
        <v>25</v>
      </c>
      <c r="C9" s="19">
        <v>3</v>
      </c>
      <c r="D9" s="20" t="s">
        <v>56</v>
      </c>
      <c r="E9" s="126">
        <v>10</v>
      </c>
      <c r="F9" s="127">
        <v>9.82</v>
      </c>
      <c r="G9" s="21">
        <v>64.7</v>
      </c>
      <c r="H9" s="21">
        <v>0.08</v>
      </c>
      <c r="I9" s="21">
        <v>7.15</v>
      </c>
      <c r="J9" s="22">
        <v>0.12</v>
      </c>
    </row>
    <row r="10" spans="1:10" ht="15.75" x14ac:dyDescent="0.25">
      <c r="A10" s="69"/>
      <c r="B10" s="18" t="s">
        <v>25</v>
      </c>
      <c r="C10" s="71">
        <v>6</v>
      </c>
      <c r="D10" s="72" t="s">
        <v>26</v>
      </c>
      <c r="E10" s="102">
        <v>15</v>
      </c>
      <c r="F10" s="96">
        <f>13.44*15/12</f>
        <v>16.8</v>
      </c>
      <c r="G10" s="15">
        <f>36*15/12</f>
        <v>45</v>
      </c>
      <c r="H10" s="15">
        <f>1.36*15/12</f>
        <v>1.7000000000000002</v>
      </c>
      <c r="I10" s="15">
        <f>2.76*15/12</f>
        <v>3.4499999999999997</v>
      </c>
      <c r="J10" s="16">
        <f>0.31*15/12</f>
        <v>0.38750000000000001</v>
      </c>
    </row>
    <row r="11" spans="1:10" ht="16.5" thickBot="1" x14ac:dyDescent="0.3">
      <c r="A11" s="69"/>
      <c r="B11" s="79"/>
      <c r="C11" s="80"/>
      <c r="D11" s="81"/>
      <c r="E11" s="103"/>
      <c r="F11" s="98">
        <v>78</v>
      </c>
      <c r="G11" s="82">
        <f>SUM(G4:G10)</f>
        <v>512.54</v>
      </c>
      <c r="H11" s="82">
        <f>SUM(H4:H10)</f>
        <v>12.382000000000001</v>
      </c>
      <c r="I11" s="82">
        <f>SUM(I4:I10)</f>
        <v>16.779500000000002</v>
      </c>
      <c r="J11" s="125">
        <f>SUM(J4:J10)</f>
        <v>75.373000000000005</v>
      </c>
    </row>
    <row r="12" spans="1:10" ht="15.75" x14ac:dyDescent="0.25">
      <c r="A12" s="63"/>
      <c r="B12" s="64" t="s">
        <v>16</v>
      </c>
      <c r="C12" s="65">
        <v>12</v>
      </c>
      <c r="D12" s="66" t="s">
        <v>58</v>
      </c>
      <c r="E12" s="104" t="s">
        <v>48</v>
      </c>
      <c r="F12" s="95">
        <f>46.8*120/100</f>
        <v>56.16</v>
      </c>
      <c r="G12" s="67">
        <v>200.65</v>
      </c>
      <c r="H12" s="67">
        <v>10.73</v>
      </c>
      <c r="I12" s="67">
        <v>12.68</v>
      </c>
      <c r="J12" s="68">
        <v>11.02</v>
      </c>
    </row>
    <row r="13" spans="1:10" ht="15.75" x14ac:dyDescent="0.25">
      <c r="A13" s="69"/>
      <c r="B13" s="70" t="s">
        <v>17</v>
      </c>
      <c r="C13" s="71">
        <v>32</v>
      </c>
      <c r="D13" s="72" t="s">
        <v>38</v>
      </c>
      <c r="E13" s="105" t="s">
        <v>59</v>
      </c>
      <c r="F13" s="96">
        <f>10.03*80/80+11.05*70/70</f>
        <v>21.08</v>
      </c>
      <c r="G13" s="73">
        <f>183.25</f>
        <v>183.25</v>
      </c>
      <c r="H13" s="73">
        <f>3.35</f>
        <v>3.35</v>
      </c>
      <c r="I13" s="73">
        <f>6.98</f>
        <v>6.98</v>
      </c>
      <c r="J13" s="74">
        <f>22.19</f>
        <v>22.19</v>
      </c>
    </row>
    <row r="14" spans="1:10" ht="15.75" x14ac:dyDescent="0.25">
      <c r="A14" s="69"/>
      <c r="B14" s="70" t="s">
        <v>28</v>
      </c>
      <c r="C14" s="71">
        <v>35</v>
      </c>
      <c r="D14" s="72" t="s">
        <v>30</v>
      </c>
      <c r="E14" s="102">
        <v>200</v>
      </c>
      <c r="F14" s="96">
        <v>8.66</v>
      </c>
      <c r="G14" s="73">
        <v>43</v>
      </c>
      <c r="H14" s="73">
        <v>0.06</v>
      </c>
      <c r="I14" s="73">
        <v>0.01</v>
      </c>
      <c r="J14" s="74">
        <v>10.220000000000001</v>
      </c>
    </row>
    <row r="15" spans="1:10" ht="15.75" x14ac:dyDescent="0.25">
      <c r="A15" s="69"/>
      <c r="B15" s="18" t="s">
        <v>25</v>
      </c>
      <c r="C15" s="71" t="s">
        <v>22</v>
      </c>
      <c r="D15" s="72" t="s">
        <v>62</v>
      </c>
      <c r="E15" s="102">
        <v>39</v>
      </c>
      <c r="F15" s="96">
        <f>264*0.039*1.33</f>
        <v>13.693680000000001</v>
      </c>
      <c r="G15" s="73">
        <v>95.34</v>
      </c>
      <c r="H15" s="73">
        <v>1.61</v>
      </c>
      <c r="I15" s="73">
        <v>2.1</v>
      </c>
      <c r="J15" s="74">
        <v>17.510000000000002</v>
      </c>
    </row>
    <row r="16" spans="1:10" ht="15.75" x14ac:dyDescent="0.25">
      <c r="A16" s="69"/>
      <c r="B16" s="70" t="s">
        <v>19</v>
      </c>
      <c r="C16" s="71" t="s">
        <v>22</v>
      </c>
      <c r="D16" s="72" t="s">
        <v>29</v>
      </c>
      <c r="E16" s="105" t="s">
        <v>51</v>
      </c>
      <c r="F16" s="96">
        <f>81.6*0.02</f>
        <v>1.6319999999999999</v>
      </c>
      <c r="G16" s="73">
        <f>62.4*20/30</f>
        <v>41.6</v>
      </c>
      <c r="H16" s="73">
        <f>2.4*20/30</f>
        <v>1.6</v>
      </c>
      <c r="I16" s="73">
        <f>0.45*20/30</f>
        <v>0.3</v>
      </c>
      <c r="J16" s="74">
        <f>11.37*20/30</f>
        <v>7.5799999999999992</v>
      </c>
    </row>
    <row r="17" spans="1:17" ht="15.75" x14ac:dyDescent="0.25">
      <c r="A17" s="69"/>
      <c r="B17" s="83" t="s">
        <v>18</v>
      </c>
      <c r="C17" s="75" t="s">
        <v>22</v>
      </c>
      <c r="D17" s="76" t="s">
        <v>23</v>
      </c>
      <c r="E17" s="106" t="s">
        <v>51</v>
      </c>
      <c r="F17" s="97">
        <f>55.37*0.02</f>
        <v>1.1073999999999999</v>
      </c>
      <c r="G17" s="77">
        <f>60*20/30</f>
        <v>40</v>
      </c>
      <c r="H17" s="77">
        <f>1.47*20/30</f>
        <v>0.98</v>
      </c>
      <c r="I17" s="77">
        <f>0.3*20/30</f>
        <v>0.2</v>
      </c>
      <c r="J17" s="78">
        <f>13.44*20/30</f>
        <v>8.9600000000000009</v>
      </c>
    </row>
    <row r="18" spans="1:17" ht="16.5" thickBot="1" x14ac:dyDescent="0.3">
      <c r="A18" s="84"/>
      <c r="B18" s="85"/>
      <c r="C18" s="86"/>
      <c r="D18" s="86"/>
      <c r="E18" s="107"/>
      <c r="F18" s="99">
        <f>SUM(F12:F17)</f>
        <v>102.33308</v>
      </c>
      <c r="G18" s="88">
        <f>SUM(G12:G17)</f>
        <v>603.84</v>
      </c>
      <c r="H18" s="88">
        <f>SUM(H12:H17)</f>
        <v>18.330000000000002</v>
      </c>
      <c r="I18" s="88">
        <f>SUM(I12:I17)</f>
        <v>22.270000000000003</v>
      </c>
      <c r="J18" s="89">
        <f>SUM(J12:J17)</f>
        <v>77.47999999999999</v>
      </c>
    </row>
    <row r="19" spans="1:17" ht="31.15" customHeight="1" x14ac:dyDescent="0.25">
      <c r="A19" s="63"/>
      <c r="B19" s="90" t="s">
        <v>15</v>
      </c>
      <c r="C19" s="91">
        <v>33</v>
      </c>
      <c r="D19" s="92" t="s">
        <v>50</v>
      </c>
      <c r="E19" s="108" t="s">
        <v>53</v>
      </c>
      <c r="F19" s="100">
        <f>15.15*240/250+2.45+12.4*1</f>
        <v>29.393999999999998</v>
      </c>
      <c r="G19" s="93">
        <f>180.75</f>
        <v>180.75</v>
      </c>
      <c r="H19" s="93">
        <f>1.72</f>
        <v>1.72</v>
      </c>
      <c r="I19" s="93">
        <f>6.18</f>
        <v>6.18</v>
      </c>
      <c r="J19" s="94">
        <f>11.66</f>
        <v>11.66</v>
      </c>
      <c r="Q19" s="109"/>
    </row>
    <row r="20" spans="1:17" ht="15.75" x14ac:dyDescent="0.25">
      <c r="A20" s="69"/>
      <c r="B20" s="70" t="s">
        <v>16</v>
      </c>
      <c r="C20" s="71">
        <v>12</v>
      </c>
      <c r="D20" s="72" t="s">
        <v>58</v>
      </c>
      <c r="E20" s="105" t="s">
        <v>48</v>
      </c>
      <c r="F20" s="96">
        <f>46.8*120/100</f>
        <v>56.16</v>
      </c>
      <c r="G20" s="73">
        <v>200.65</v>
      </c>
      <c r="H20" s="73">
        <v>10.73</v>
      </c>
      <c r="I20" s="73">
        <v>12.68</v>
      </c>
      <c r="J20" s="74">
        <v>11.02</v>
      </c>
    </row>
    <row r="21" spans="1:17" ht="15.75" x14ac:dyDescent="0.25">
      <c r="A21" s="69"/>
      <c r="B21" s="70" t="s">
        <v>17</v>
      </c>
      <c r="C21" s="71">
        <v>32</v>
      </c>
      <c r="D21" s="72" t="s">
        <v>38</v>
      </c>
      <c r="E21" s="105" t="s">
        <v>59</v>
      </c>
      <c r="F21" s="96">
        <f>10.03*80/80+11.05*70/70</f>
        <v>21.08</v>
      </c>
      <c r="G21" s="73">
        <f>183.25</f>
        <v>183.25</v>
      </c>
      <c r="H21" s="73">
        <f>3.35</f>
        <v>3.35</v>
      </c>
      <c r="I21" s="73">
        <f>6.98</f>
        <v>6.98</v>
      </c>
      <c r="J21" s="74">
        <f>22.19</f>
        <v>22.19</v>
      </c>
    </row>
    <row r="22" spans="1:17" ht="15.75" x14ac:dyDescent="0.25">
      <c r="A22" s="69"/>
      <c r="B22" s="83" t="s">
        <v>28</v>
      </c>
      <c r="C22" s="75">
        <v>35</v>
      </c>
      <c r="D22" s="76" t="s">
        <v>30</v>
      </c>
      <c r="E22" s="128">
        <v>200</v>
      </c>
      <c r="F22" s="97">
        <v>8.66</v>
      </c>
      <c r="G22" s="77">
        <v>43</v>
      </c>
      <c r="H22" s="77">
        <v>0.06</v>
      </c>
      <c r="I22" s="77">
        <v>0.01</v>
      </c>
      <c r="J22" s="78">
        <v>10.220000000000001</v>
      </c>
    </row>
    <row r="23" spans="1:17" ht="15.75" x14ac:dyDescent="0.25">
      <c r="A23" s="69"/>
      <c r="B23" s="18" t="s">
        <v>25</v>
      </c>
      <c r="C23" s="71" t="s">
        <v>22</v>
      </c>
      <c r="D23" s="72" t="s">
        <v>62</v>
      </c>
      <c r="E23" s="102">
        <v>26</v>
      </c>
      <c r="F23" s="96">
        <f>264*0.026*1.33</f>
        <v>9.1291200000000003</v>
      </c>
      <c r="G23" s="73">
        <v>95.34</v>
      </c>
      <c r="H23" s="73">
        <v>1.61</v>
      </c>
      <c r="I23" s="73">
        <v>2.1</v>
      </c>
      <c r="J23" s="74">
        <v>17.510000000000002</v>
      </c>
    </row>
    <row r="24" spans="1:17" ht="15.75" x14ac:dyDescent="0.25">
      <c r="A24" s="69"/>
      <c r="B24" s="70" t="s">
        <v>19</v>
      </c>
      <c r="C24" s="71" t="s">
        <v>22</v>
      </c>
      <c r="D24" s="72" t="s">
        <v>29</v>
      </c>
      <c r="E24" s="105" t="s">
        <v>60</v>
      </c>
      <c r="F24" s="96">
        <f>81.6*0.028</f>
        <v>2.2847999999999997</v>
      </c>
      <c r="G24" s="73">
        <f>62.4*32/30</f>
        <v>66.56</v>
      </c>
      <c r="H24" s="73">
        <f>2.4*32/30</f>
        <v>2.56</v>
      </c>
      <c r="I24" s="73">
        <f>0.45*32/30</f>
        <v>0.48000000000000004</v>
      </c>
      <c r="J24" s="74">
        <f>11.37*32/30</f>
        <v>12.127999999999998</v>
      </c>
    </row>
    <row r="25" spans="1:17" ht="15.75" x14ac:dyDescent="0.25">
      <c r="A25" s="69"/>
      <c r="B25" s="83" t="s">
        <v>18</v>
      </c>
      <c r="C25" s="75" t="s">
        <v>22</v>
      </c>
      <c r="D25" s="76" t="s">
        <v>23</v>
      </c>
      <c r="E25" s="106" t="s">
        <v>61</v>
      </c>
      <c r="F25" s="97">
        <v>1.52</v>
      </c>
      <c r="G25" s="77">
        <f>60*31/30</f>
        <v>62</v>
      </c>
      <c r="H25" s="77">
        <f>1.47*31/30</f>
        <v>1.5189999999999999</v>
      </c>
      <c r="I25" s="77">
        <f>0.3*31/30</f>
        <v>0.30999999999999994</v>
      </c>
      <c r="J25" s="78">
        <f>13.44*31/30</f>
        <v>13.888</v>
      </c>
    </row>
    <row r="26" spans="1:17" ht="16.5" thickBot="1" x14ac:dyDescent="0.3">
      <c r="A26" s="84"/>
      <c r="B26" s="85"/>
      <c r="C26" s="86"/>
      <c r="D26" s="86"/>
      <c r="E26" s="87"/>
      <c r="F26" s="99">
        <v>125</v>
      </c>
      <c r="G26" s="88">
        <f>SUM(G20:G25)</f>
        <v>650.79999999999995</v>
      </c>
      <c r="H26" s="88">
        <f>SUM(H20:H25)</f>
        <v>19.828999999999997</v>
      </c>
      <c r="I26" s="88">
        <f>SUM(I20:I25)</f>
        <v>22.560000000000002</v>
      </c>
      <c r="J26" s="89">
        <f>SUM(J20:J25)</f>
        <v>86.956000000000003</v>
      </c>
    </row>
    <row r="27" spans="1:17" customFormat="1" x14ac:dyDescent="0.25">
      <c r="E27" s="30"/>
    </row>
    <row r="28" spans="1:17" customFormat="1" x14ac:dyDescent="0.25">
      <c r="A28" s="50" t="s">
        <v>43</v>
      </c>
      <c r="E28" s="30"/>
    </row>
    <row r="29" spans="1:17" customFormat="1" x14ac:dyDescent="0.25">
      <c r="E29" s="30"/>
    </row>
    <row r="30" spans="1:17" customFormat="1" x14ac:dyDescent="0.25">
      <c r="A30" s="50" t="s">
        <v>44</v>
      </c>
      <c r="E30" s="30"/>
    </row>
    <row r="31" spans="1:17" customFormat="1" x14ac:dyDescent="0.25">
      <c r="E31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19:J19 G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2022-10-21T03:01:36Z</cp:lastPrinted>
  <dcterms:created xsi:type="dcterms:W3CDTF">2015-06-05T18:19:34Z</dcterms:created>
  <dcterms:modified xsi:type="dcterms:W3CDTF">2023-02-13T08:29:19Z</dcterms:modified>
</cp:coreProperties>
</file>