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13_ncr:1_{61221E3D-206E-4AA8-A0D7-1722A675FF1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2" l="1"/>
  <c r="F15" i="2"/>
  <c r="F14" i="2"/>
  <c r="F13" i="2"/>
  <c r="F12" i="2"/>
  <c r="F10" i="2"/>
  <c r="F9" i="2"/>
  <c r="F8" i="2"/>
  <c r="F7" i="2"/>
  <c r="F6" i="2"/>
  <c r="J26" i="2" l="1"/>
  <c r="J25" i="2"/>
  <c r="I26" i="2"/>
  <c r="I25" i="2"/>
  <c r="H26" i="2"/>
  <c r="H25" i="2"/>
  <c r="G26" i="2"/>
  <c r="G25" i="2"/>
  <c r="F25" i="2"/>
  <c r="F23" i="2"/>
  <c r="F20" i="2"/>
  <c r="J36" i="1"/>
  <c r="I36" i="1"/>
  <c r="H36" i="1"/>
  <c r="G36" i="1"/>
  <c r="F36" i="1"/>
  <c r="F37" i="1"/>
  <c r="J21" i="1"/>
  <c r="J20" i="1"/>
  <c r="I21" i="1"/>
  <c r="I20" i="1"/>
  <c r="H21" i="1"/>
  <c r="H20" i="1"/>
  <c r="G21" i="1"/>
  <c r="G20" i="1"/>
  <c r="J15" i="1"/>
  <c r="I15" i="1"/>
  <c r="H15" i="1"/>
  <c r="G15" i="1"/>
  <c r="G22" i="1" s="1"/>
  <c r="F20" i="1"/>
  <c r="F16" i="1"/>
  <c r="F15" i="1"/>
  <c r="F22" i="2"/>
  <c r="F21" i="2"/>
  <c r="J18" i="2"/>
  <c r="J17" i="2"/>
  <c r="J19" i="2" s="1"/>
  <c r="I18" i="2"/>
  <c r="I17" i="2"/>
  <c r="H18" i="2"/>
  <c r="H19" i="2" s="1"/>
  <c r="H17" i="2"/>
  <c r="G18" i="2"/>
  <c r="G17" i="2"/>
  <c r="J15" i="2"/>
  <c r="I15" i="2"/>
  <c r="J10" i="2"/>
  <c r="J9" i="2"/>
  <c r="I10" i="2"/>
  <c r="I9" i="2"/>
  <c r="H10" i="2"/>
  <c r="H9" i="2"/>
  <c r="G10" i="2"/>
  <c r="G9" i="2"/>
  <c r="J7" i="2"/>
  <c r="I7" i="2"/>
  <c r="H7" i="2"/>
  <c r="G7" i="2"/>
  <c r="J8" i="2"/>
  <c r="I8" i="2"/>
  <c r="J6" i="2"/>
  <c r="I6" i="2"/>
  <c r="H6" i="2"/>
  <c r="G6" i="2"/>
  <c r="J42" i="1"/>
  <c r="I42" i="1"/>
  <c r="H42" i="1"/>
  <c r="G42" i="1"/>
  <c r="J41" i="1"/>
  <c r="I41" i="1"/>
  <c r="H41" i="1"/>
  <c r="G41" i="1"/>
  <c r="F41" i="1"/>
  <c r="G31" i="1"/>
  <c r="J31" i="1"/>
  <c r="I31" i="1"/>
  <c r="H31" i="1"/>
  <c r="J30" i="1"/>
  <c r="I30" i="1"/>
  <c r="H30" i="1"/>
  <c r="G30" i="1"/>
  <c r="J29" i="1"/>
  <c r="I29" i="1"/>
  <c r="H29" i="1"/>
  <c r="G29" i="1"/>
  <c r="J28" i="1"/>
  <c r="I28" i="1"/>
  <c r="H28" i="1"/>
  <c r="G28" i="1"/>
  <c r="G32" i="1" s="1"/>
  <c r="J27" i="1"/>
  <c r="I27" i="1"/>
  <c r="H27" i="1"/>
  <c r="H32" i="1" s="1"/>
  <c r="G27" i="1"/>
  <c r="I22" i="1"/>
  <c r="J10" i="1"/>
  <c r="J9" i="1"/>
  <c r="I10" i="1"/>
  <c r="I9" i="1"/>
  <c r="H10" i="1"/>
  <c r="H9" i="1"/>
  <c r="G9" i="1"/>
  <c r="G10" i="1"/>
  <c r="J6" i="1"/>
  <c r="I6" i="1"/>
  <c r="H6" i="1"/>
  <c r="G6" i="1"/>
  <c r="F9" i="1"/>
  <c r="F31" i="1"/>
  <c r="F30" i="1"/>
  <c r="F27" i="1"/>
  <c r="F28" i="1"/>
  <c r="F7" i="1"/>
  <c r="F6" i="1"/>
  <c r="J23" i="2"/>
  <c r="I23" i="2"/>
  <c r="H23" i="2"/>
  <c r="G23" i="2"/>
  <c r="G19" i="2"/>
  <c r="I19" i="2" l="1"/>
  <c r="F27" i="2"/>
  <c r="H22" i="1"/>
  <c r="F8" i="1" l="1"/>
  <c r="F29" i="1" l="1"/>
  <c r="H43" i="1" l="1"/>
  <c r="J8" i="1"/>
  <c r="I8" i="1"/>
  <c r="J7" i="1"/>
  <c r="I7" i="1"/>
  <c r="H7" i="1"/>
  <c r="G7" i="1"/>
  <c r="I11" i="2" l="1"/>
  <c r="H11" i="2"/>
  <c r="J11" i="2"/>
  <c r="I43" i="1"/>
  <c r="J43" i="1"/>
  <c r="G43" i="1"/>
  <c r="G11" i="2"/>
  <c r="I32" i="1"/>
  <c r="J32" i="1"/>
  <c r="J35" i="1"/>
  <c r="I35" i="1"/>
  <c r="H35" i="1"/>
  <c r="G35" i="1"/>
  <c r="J27" i="2" l="1"/>
  <c r="H11" i="1"/>
  <c r="G11" i="1"/>
  <c r="G27" i="2" l="1"/>
  <c r="I27" i="2"/>
  <c r="H27" i="2"/>
  <c r="G14" i="1" l="1"/>
  <c r="J11" i="1"/>
  <c r="I11" i="1" l="1"/>
  <c r="J22" i="1"/>
  <c r="J14" i="1"/>
  <c r="I14" i="1"/>
  <c r="H14" i="1"/>
</calcChain>
</file>

<file path=xl/sharedStrings.xml><?xml version="1.0" encoding="utf-8"?>
<sst xmlns="http://schemas.openxmlformats.org/spreadsheetml/2006/main" count="187" uniqueCount="68">
  <si>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</si>
  <si>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</si>
  <si>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</si>
  <si>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</si>
  <si>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</si>
  <si>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</si>
  <si>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</si>
  <si>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</si>
  <si>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</si>
  <si>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</si>
  <si>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</si>
  <si>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</si>
  <si>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</si>
  <si>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</si>
  <si>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</si>
  <si>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</si>
  <si>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</si>
  <si>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</si>
  <si>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</si>
  <si>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</si>
  <si>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</si>
  <si>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</si>
  <si>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</si>
  <si>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</si>
  <si>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</si>
  <si>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</si>
  <si>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</si>
  <si>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</si>
  <si>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</si>
  <si>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</si>
  <si>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</si>
  <si>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</si>
  <si>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</si>
  <si>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</si>
  <si>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</si>
  <si>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</si>
  <si>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</si>
  <si>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</si>
  <si>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Зав.производством __________________________________</t>
  </si>
  <si>
    <t>90</t>
  </si>
  <si>
    <t>гарнир</t>
  </si>
  <si>
    <t>добавка</t>
  </si>
  <si>
    <t>Капуста тушеная</t>
  </si>
  <si>
    <t>Суп картофельный с клецками с мясом птицы</t>
  </si>
  <si>
    <t>Каша "Дружба"</t>
  </si>
  <si>
    <t>Творожное печенье</t>
  </si>
  <si>
    <t>Соус сметанный с томатом</t>
  </si>
  <si>
    <t>150</t>
  </si>
  <si>
    <t xml:space="preserve">Компот из сухофруктов </t>
  </si>
  <si>
    <t>Какао с молоком</t>
  </si>
  <si>
    <t>100</t>
  </si>
  <si>
    <t>Суп картофельный с клецками и мясом птицы</t>
  </si>
  <si>
    <t>180</t>
  </si>
  <si>
    <t>Котлеты рубленый из птицы</t>
  </si>
  <si>
    <t>Каша гречневая рассыпчатая</t>
  </si>
  <si>
    <t>Молоко кипяченое</t>
  </si>
  <si>
    <t>Булочка дорожная</t>
  </si>
  <si>
    <t>Компот их сухофруктов</t>
  </si>
  <si>
    <t>165/65/20</t>
  </si>
  <si>
    <t>Зеленый горошек</t>
  </si>
  <si>
    <t>39</t>
  </si>
  <si>
    <t>38</t>
  </si>
  <si>
    <t>29</t>
  </si>
  <si>
    <t>28</t>
  </si>
  <si>
    <t>180/65/5</t>
  </si>
  <si>
    <t>32</t>
  </si>
  <si>
    <t>Вафли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</si>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</sst>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5" xfId="0" applyFont="1" applyBorder="1"/>
    <xf numFmtId="0" fontId="3" fillId="0" borderId="8" xfId="0" applyFont="1" applyBorder="1"/>
    <xf numFmtId="0" fontId="3" fillId="0" borderId="14" xfId="0" applyFont="1" applyBorder="1"/>
    <xf numFmtId="0" fontId="3" fillId="0" borderId="17" xfId="0" applyFont="1" applyBorder="1"/>
    <xf numFmtId="0" fontId="3" fillId="0" borderId="18" xfId="0" applyFont="1" applyBorder="1" applyProtection="1">
      <protection locked="0"/>
    </xf>
    <xf numFmtId="0" fontId="3" fillId="0" borderId="18" xfId="0" applyFont="1" applyBorder="1"/>
    <xf numFmtId="2" fontId="3" fillId="0" borderId="18" xfId="0" applyNumberFormat="1" applyFont="1" applyBorder="1"/>
    <xf numFmtId="2" fontId="3" fillId="0" borderId="19" xfId="0" applyNumberFormat="1" applyFont="1" applyBorder="1"/>
    <xf numFmtId="2" fontId="0" fillId="0" borderId="20" xfId="0" applyNumberFormat="1" applyBorder="1" applyProtection="1">
      <protection locked="0"/>
    </xf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2" fontId="0" fillId="0" borderId="18" xfId="0" applyNumberFormat="1" applyBorder="1"/>
    <xf numFmtId="2" fontId="0" fillId="0" borderId="19" xfId="0" applyNumberFormat="1" applyBorder="1"/>
    <xf numFmtId="0" fontId="6" fillId="0" borderId="11" xfId="0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 applyProtection="1">
      <protection locked="0"/>
    </xf>
    <xf numFmtId="2" fontId="0" fillId="0" borderId="23" xfId="0" applyNumberFormat="1" applyBorder="1" applyProtection="1">
      <protection locked="0"/>
    </xf>
    <xf numFmtId="0" fontId="8" fillId="0" borderId="18" xfId="0" applyFont="1" applyBorder="1" applyAlignment="1">
      <alignment horizontal="center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16" xfId="0" applyFont="1" applyBorder="1"/>
    <xf numFmtId="0" fontId="0" fillId="0" borderId="4" xfId="0" applyBorder="1"/>
    <xf numFmtId="2" fontId="0" fillId="0" borderId="25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49" fontId="6" fillId="0" borderId="1" xfId="0" applyNumberFormat="1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6" fillId="0" borderId="2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6" fillId="0" borderId="18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2" fontId="6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5"/>
  <sheetViews>
    <sheetView zoomScale="110" zoomScaleNormal="110" workbookViewId="0">
      <selection activeCell="B1" sqref="B1:D1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6" bestFit="1" customWidth="1"/>
    <col min="6" max="6" width="8.28515625" style="16" bestFit="1" customWidth="1"/>
    <col min="7" max="7" width="7.7109375" customWidth="1"/>
    <col min="8" max="8" width="6.140625" bestFit="1" customWidth="1"/>
    <col min="9" max="9" width="11.140625" customWidth="1"/>
    <col min="10" max="10" width="8.5703125" customWidth="1"/>
  </cols>
  <sheetData>
    <row r="1" spans="1:10" ht="28.9" customHeight="1" x14ac:dyDescent="0.25">
      <c r="A1" t="s">
        <v>0</v>
      </c>
      <c r="B1" s="108" t="s">
        <v>67</v>
      </c>
      <c r="C1" s="109"/>
      <c r="D1" s="110"/>
      <c r="E1" s="16" t="s">
        <v>28</v>
      </c>
      <c r="F1" s="15"/>
      <c r="H1" t="s">
        <v>1</v>
      </c>
      <c r="I1" s="14">
        <v>44956</v>
      </c>
    </row>
    <row r="2" spans="1:10" ht="15.75" thickBot="1" x14ac:dyDescent="0.3">
      <c r="B2" s="1" t="s">
        <v>27</v>
      </c>
    </row>
    <row r="3" spans="1:10" s="21" customFormat="1" ht="30.75" thickBot="1" x14ac:dyDescent="0.3">
      <c r="A3" s="17" t="s">
        <v>2</v>
      </c>
      <c r="B3" s="18" t="s">
        <v>3</v>
      </c>
      <c r="C3" s="18" t="s">
        <v>20</v>
      </c>
      <c r="D3" s="18" t="s">
        <v>4</v>
      </c>
      <c r="E3" s="43" t="s">
        <v>21</v>
      </c>
      <c r="F3" s="43" t="s">
        <v>5</v>
      </c>
      <c r="G3" s="19" t="s">
        <v>6</v>
      </c>
      <c r="H3" s="18" t="s">
        <v>7</v>
      </c>
      <c r="I3" s="18" t="s">
        <v>8</v>
      </c>
      <c r="J3" s="20" t="s">
        <v>9</v>
      </c>
    </row>
    <row r="4" spans="1:10" ht="15.75" x14ac:dyDescent="0.25">
      <c r="A4" s="2" t="s">
        <v>10</v>
      </c>
      <c r="B4" s="3" t="s">
        <v>11</v>
      </c>
      <c r="C4" s="76">
        <v>46</v>
      </c>
      <c r="D4" s="77" t="s">
        <v>44</v>
      </c>
      <c r="E4" s="78" t="s">
        <v>34</v>
      </c>
      <c r="F4" s="79">
        <v>16.649999999999999</v>
      </c>
      <c r="G4" s="73">
        <v>193.84</v>
      </c>
      <c r="H4" s="73">
        <v>5.21</v>
      </c>
      <c r="I4" s="73">
        <v>7.16</v>
      </c>
      <c r="J4" s="74">
        <v>27.84</v>
      </c>
    </row>
    <row r="5" spans="1:10" ht="15.75" x14ac:dyDescent="0.25">
      <c r="A5" s="6"/>
      <c r="B5" s="69" t="s">
        <v>12</v>
      </c>
      <c r="C5" s="80">
        <v>36</v>
      </c>
      <c r="D5" s="81" t="s">
        <v>49</v>
      </c>
      <c r="E5" s="82" t="s">
        <v>34</v>
      </c>
      <c r="F5" s="83">
        <v>15.21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31" t="s">
        <v>33</v>
      </c>
      <c r="C6" s="84">
        <v>6</v>
      </c>
      <c r="D6" s="85" t="s">
        <v>36</v>
      </c>
      <c r="E6" s="86">
        <v>12</v>
      </c>
      <c r="F6" s="58">
        <f>10.11*12/12</f>
        <v>10.11</v>
      </c>
      <c r="G6" s="8">
        <f>36*12/12</f>
        <v>36</v>
      </c>
      <c r="H6" s="8">
        <f>1.36*12/12</f>
        <v>1.36</v>
      </c>
      <c r="I6" s="8">
        <f>2.76*12/12</f>
        <v>2.76</v>
      </c>
      <c r="J6" s="9">
        <f>0.31*12/12</f>
        <v>0.31</v>
      </c>
    </row>
    <row r="7" spans="1:10" ht="15.75" x14ac:dyDescent="0.25">
      <c r="A7" s="6"/>
      <c r="B7" s="70"/>
      <c r="C7" s="84">
        <v>3</v>
      </c>
      <c r="D7" s="85" t="s">
        <v>32</v>
      </c>
      <c r="E7" s="86">
        <v>10</v>
      </c>
      <c r="F7" s="58">
        <f>9.82*10/10</f>
        <v>9.82</v>
      </c>
      <c r="G7" s="8">
        <f>64.7*10/10</f>
        <v>64.7</v>
      </c>
      <c r="H7" s="8">
        <f>0.08*10/10</f>
        <v>0.08</v>
      </c>
      <c r="I7" s="8">
        <f>7.15*10/10</f>
        <v>7.15</v>
      </c>
      <c r="J7" s="9">
        <f>0.12*10/10</f>
        <v>0.12</v>
      </c>
    </row>
    <row r="8" spans="1:10" ht="15.75" x14ac:dyDescent="0.25">
      <c r="A8" s="6"/>
      <c r="B8" s="69"/>
      <c r="C8" s="87">
        <v>38</v>
      </c>
      <c r="D8" s="85" t="s">
        <v>45</v>
      </c>
      <c r="E8" s="86">
        <v>38</v>
      </c>
      <c r="F8" s="58">
        <f>150*0.038</f>
        <v>5.7</v>
      </c>
      <c r="G8" s="8">
        <v>144.74</v>
      </c>
      <c r="H8" s="8">
        <v>3.53</v>
      </c>
      <c r="I8" s="8">
        <f>9.88</f>
        <v>9.8800000000000008</v>
      </c>
      <c r="J8" s="9">
        <f>3.53</f>
        <v>3.53</v>
      </c>
    </row>
    <row r="9" spans="1:10" ht="15.75" x14ac:dyDescent="0.25">
      <c r="A9" s="6"/>
      <c r="B9" s="31" t="s">
        <v>18</v>
      </c>
      <c r="C9" s="84" t="s">
        <v>22</v>
      </c>
      <c r="D9" s="85" t="s">
        <v>23</v>
      </c>
      <c r="E9" s="86">
        <v>23</v>
      </c>
      <c r="F9" s="58">
        <f>44.16*0.023</f>
        <v>1.0156799999999999</v>
      </c>
      <c r="G9" s="8">
        <f>40*23/20</f>
        <v>46</v>
      </c>
      <c r="H9" s="8">
        <f>0.98*23/20</f>
        <v>1.127</v>
      </c>
      <c r="I9" s="8">
        <f>0.2*23/20</f>
        <v>0.23000000000000004</v>
      </c>
      <c r="J9" s="9">
        <f>8.95*23/20</f>
        <v>10.2925</v>
      </c>
    </row>
    <row r="10" spans="1:10" ht="15.75" x14ac:dyDescent="0.25">
      <c r="A10" s="6"/>
      <c r="B10" s="52"/>
      <c r="C10" s="84" t="s">
        <v>22</v>
      </c>
      <c r="D10" s="85" t="s">
        <v>37</v>
      </c>
      <c r="E10" s="86">
        <v>24</v>
      </c>
      <c r="F10" s="58">
        <v>2.06</v>
      </c>
      <c r="G10" s="8">
        <f>41.6*24/20</f>
        <v>49.92</v>
      </c>
      <c r="H10" s="8">
        <f>1.6*24/20</f>
        <v>1.9200000000000004</v>
      </c>
      <c r="I10" s="8">
        <f>0.03*24/20</f>
        <v>3.5999999999999997E-2</v>
      </c>
      <c r="J10" s="9">
        <f>8.02*24/20</f>
        <v>9.6239999999999988</v>
      </c>
    </row>
    <row r="11" spans="1:10" ht="16.5" thickBot="1" x14ac:dyDescent="0.3">
      <c r="A11" s="54"/>
      <c r="B11" s="55"/>
      <c r="C11" s="88"/>
      <c r="D11" s="89"/>
      <c r="E11" s="90"/>
      <c r="F11" s="91">
        <v>58.52</v>
      </c>
      <c r="G11" s="56">
        <f>SUM(G4:G10)</f>
        <v>652.19999999999993</v>
      </c>
      <c r="H11" s="56">
        <f>SUM(H4:H10)</f>
        <v>17.677</v>
      </c>
      <c r="I11" s="56">
        <f>SUM(I4:I10)</f>
        <v>30.816000000000006</v>
      </c>
      <c r="J11" s="72">
        <f>SUM(J4:J10)</f>
        <v>67.866499999999988</v>
      </c>
    </row>
    <row r="12" spans="1:10" ht="15.75" x14ac:dyDescent="0.25">
      <c r="A12" s="2" t="s">
        <v>24</v>
      </c>
      <c r="B12" s="3"/>
      <c r="C12" s="92">
        <v>8</v>
      </c>
      <c r="D12" s="93" t="s">
        <v>55</v>
      </c>
      <c r="E12" s="94">
        <v>200</v>
      </c>
      <c r="F12" s="79">
        <v>16.39</v>
      </c>
      <c r="G12" s="4">
        <v>108</v>
      </c>
      <c r="H12" s="4">
        <v>5.8</v>
      </c>
      <c r="I12" s="4">
        <v>5</v>
      </c>
      <c r="J12" s="5">
        <v>9.6</v>
      </c>
    </row>
    <row r="13" spans="1:10" ht="15.75" x14ac:dyDescent="0.25">
      <c r="A13" s="6"/>
      <c r="B13" s="71"/>
      <c r="C13" s="95">
        <v>67</v>
      </c>
      <c r="D13" s="96" t="s">
        <v>56</v>
      </c>
      <c r="E13" s="97">
        <v>120</v>
      </c>
      <c r="F13" s="83">
        <v>29.04</v>
      </c>
      <c r="G13" s="12">
        <v>376.67</v>
      </c>
      <c r="H13" s="12">
        <v>7</v>
      </c>
      <c r="I13" s="12">
        <v>13.83</v>
      </c>
      <c r="J13" s="37">
        <v>55.83</v>
      </c>
    </row>
    <row r="14" spans="1:10" ht="16.5" thickBot="1" x14ac:dyDescent="0.3">
      <c r="A14" s="53"/>
      <c r="B14" s="39"/>
      <c r="C14" s="98"/>
      <c r="D14" s="99"/>
      <c r="E14" s="100"/>
      <c r="F14" s="101">
        <v>43.9</v>
      </c>
      <c r="G14" s="59">
        <f>SUM(G12:G13)</f>
        <v>484.67</v>
      </c>
      <c r="H14" s="59">
        <f>SUM(H12:H13)</f>
        <v>12.8</v>
      </c>
      <c r="I14" s="59">
        <f>SUM(I12:I13)</f>
        <v>18.829999999999998</v>
      </c>
      <c r="J14" s="60">
        <f>SUM(J12:J13)</f>
        <v>65.429999999999993</v>
      </c>
    </row>
    <row r="15" spans="1:10" ht="15.75" x14ac:dyDescent="0.25">
      <c r="A15" s="2" t="s">
        <v>13</v>
      </c>
      <c r="B15" s="3" t="s">
        <v>14</v>
      </c>
      <c r="C15" s="102">
        <v>1</v>
      </c>
      <c r="D15" s="103" t="s">
        <v>59</v>
      </c>
      <c r="E15" s="43">
        <v>60</v>
      </c>
      <c r="F15" s="104">
        <f>23.8*60/75</f>
        <v>19.04</v>
      </c>
      <c r="G15" s="105">
        <f>30*60/75</f>
        <v>24</v>
      </c>
      <c r="H15" s="106">
        <f>2.33*60/75</f>
        <v>1.8640000000000001</v>
      </c>
      <c r="I15" s="106">
        <f>0.15*60/75</f>
        <v>0.12</v>
      </c>
      <c r="J15" s="107">
        <f>4.88*60/75</f>
        <v>3.9040000000000004</v>
      </c>
    </row>
    <row r="16" spans="1:10" ht="45" x14ac:dyDescent="0.25">
      <c r="A16" s="6"/>
      <c r="B16" s="7" t="s">
        <v>15</v>
      </c>
      <c r="C16" s="48">
        <v>55</v>
      </c>
      <c r="D16" s="49" t="s">
        <v>51</v>
      </c>
      <c r="E16" s="75" t="s">
        <v>64</v>
      </c>
      <c r="F16" s="58">
        <f>5.7*180/185+6.43*65/65+4.69*0.5</f>
        <v>14.320945945945946</v>
      </c>
      <c r="G16" s="8">
        <v>193.5</v>
      </c>
      <c r="H16" s="8">
        <v>5.23</v>
      </c>
      <c r="I16" s="8">
        <v>6.28</v>
      </c>
      <c r="J16" s="9">
        <v>29</v>
      </c>
    </row>
    <row r="17" spans="1:10" ht="30" x14ac:dyDescent="0.25">
      <c r="A17" s="6"/>
      <c r="B17" s="7" t="s">
        <v>16</v>
      </c>
      <c r="C17" s="48">
        <v>14</v>
      </c>
      <c r="D17" s="49" t="s">
        <v>53</v>
      </c>
      <c r="E17" s="44" t="s">
        <v>39</v>
      </c>
      <c r="F17" s="58">
        <v>34.520000000000003</v>
      </c>
      <c r="G17" s="8">
        <v>214.2</v>
      </c>
      <c r="H17" s="8">
        <v>13.62</v>
      </c>
      <c r="I17" s="8">
        <v>12.68</v>
      </c>
      <c r="J17" s="9">
        <v>7.61</v>
      </c>
    </row>
    <row r="18" spans="1:10" ht="15.75" x14ac:dyDescent="0.25">
      <c r="A18" s="6"/>
      <c r="B18" s="7" t="s">
        <v>40</v>
      </c>
      <c r="C18" s="48">
        <v>71</v>
      </c>
      <c r="D18" s="49" t="s">
        <v>42</v>
      </c>
      <c r="E18" s="44" t="s">
        <v>47</v>
      </c>
      <c r="F18" s="58">
        <v>15.29</v>
      </c>
      <c r="G18" s="8">
        <v>124.5</v>
      </c>
      <c r="H18" s="8">
        <v>3</v>
      </c>
      <c r="I18" s="8">
        <v>5.4</v>
      </c>
      <c r="J18" s="9">
        <v>15.9</v>
      </c>
    </row>
    <row r="19" spans="1:10" ht="15.75" x14ac:dyDescent="0.25">
      <c r="A19" s="6"/>
      <c r="B19" s="7" t="s">
        <v>25</v>
      </c>
      <c r="C19" s="48">
        <v>17</v>
      </c>
      <c r="D19" s="49" t="s">
        <v>57</v>
      </c>
      <c r="E19" s="44">
        <v>200</v>
      </c>
      <c r="F19" s="58">
        <v>4.12</v>
      </c>
      <c r="G19" s="8">
        <v>80</v>
      </c>
      <c r="H19" s="8">
        <v>0.44</v>
      </c>
      <c r="I19" s="8">
        <v>0</v>
      </c>
      <c r="J19" s="9">
        <v>18.899999999999999</v>
      </c>
    </row>
    <row r="20" spans="1:10" ht="15.75" x14ac:dyDescent="0.25">
      <c r="A20" s="6"/>
      <c r="B20" s="7" t="s">
        <v>19</v>
      </c>
      <c r="C20" s="48" t="s">
        <v>22</v>
      </c>
      <c r="D20" s="49" t="s">
        <v>26</v>
      </c>
      <c r="E20" s="44" t="s">
        <v>65</v>
      </c>
      <c r="F20" s="58">
        <f>68*0.032</f>
        <v>2.1760000000000002</v>
      </c>
      <c r="G20" s="8">
        <f>62.4*32/30</f>
        <v>66.56</v>
      </c>
      <c r="H20" s="8">
        <f>2.4*32/30</f>
        <v>2.56</v>
      </c>
      <c r="I20" s="8">
        <f>0.45*32/30</f>
        <v>0.48000000000000004</v>
      </c>
      <c r="J20" s="9">
        <f>11.37*32/30</f>
        <v>12.127999999999998</v>
      </c>
    </row>
    <row r="21" spans="1:10" ht="15.75" x14ac:dyDescent="0.25">
      <c r="A21" s="6"/>
      <c r="B21" s="13" t="s">
        <v>17</v>
      </c>
      <c r="C21" s="50" t="s">
        <v>22</v>
      </c>
      <c r="D21" s="51" t="s">
        <v>23</v>
      </c>
      <c r="E21" s="45" t="s">
        <v>65</v>
      </c>
      <c r="F21" s="61">
        <v>1.4</v>
      </c>
      <c r="G21" s="10">
        <f>60*32/30</f>
        <v>64</v>
      </c>
      <c r="H21" s="10">
        <f>1.47*32/30</f>
        <v>1.5680000000000001</v>
      </c>
      <c r="I21" s="10">
        <f>0.3*32/30</f>
        <v>0.32</v>
      </c>
      <c r="J21" s="11">
        <f>13.44*32/30</f>
        <v>14.336</v>
      </c>
    </row>
    <row r="22" spans="1:10" ht="16.5" thickBot="1" x14ac:dyDescent="0.3">
      <c r="A22" s="38"/>
      <c r="B22" s="39"/>
      <c r="C22" s="40"/>
      <c r="D22" s="40"/>
      <c r="E22" s="62"/>
      <c r="F22" s="62">
        <v>87.79</v>
      </c>
      <c r="G22" s="41">
        <f>SUM(G15:G21)</f>
        <v>766.76</v>
      </c>
      <c r="H22" s="41">
        <f>SUM(H15:H21)</f>
        <v>28.282</v>
      </c>
      <c r="I22" s="41">
        <f>SUM(I15:I21)</f>
        <v>25.279999999999998</v>
      </c>
      <c r="J22" s="42">
        <f>SUM(J15:J21)</f>
        <v>101.77799999999999</v>
      </c>
    </row>
    <row r="23" spans="1:10" ht="16.5" thickBot="1" x14ac:dyDescent="0.3">
      <c r="B23" s="1" t="s">
        <v>29</v>
      </c>
      <c r="E23" s="46"/>
      <c r="F23" s="46"/>
    </row>
    <row r="24" spans="1:10" ht="30.75" thickBot="1" x14ac:dyDescent="0.3">
      <c r="A24" s="17" t="s">
        <v>2</v>
      </c>
      <c r="B24" s="18" t="s">
        <v>3</v>
      </c>
      <c r="C24" s="18" t="s">
        <v>20</v>
      </c>
      <c r="D24" s="18" t="s">
        <v>4</v>
      </c>
      <c r="E24" s="43" t="s">
        <v>21</v>
      </c>
      <c r="F24" s="43" t="s">
        <v>5</v>
      </c>
      <c r="G24" s="19" t="s">
        <v>6</v>
      </c>
      <c r="H24" s="18" t="s">
        <v>7</v>
      </c>
      <c r="I24" s="18" t="s">
        <v>8</v>
      </c>
      <c r="J24" s="20" t="s">
        <v>9</v>
      </c>
    </row>
    <row r="25" spans="1:10" ht="15.75" x14ac:dyDescent="0.25">
      <c r="A25" s="2" t="s">
        <v>10</v>
      </c>
      <c r="B25" s="3" t="s">
        <v>11</v>
      </c>
      <c r="C25" s="76">
        <v>46</v>
      </c>
      <c r="D25" s="77" t="s">
        <v>44</v>
      </c>
      <c r="E25" s="78" t="s">
        <v>34</v>
      </c>
      <c r="F25" s="79">
        <v>16.649999999999999</v>
      </c>
      <c r="G25" s="73">
        <v>193.84</v>
      </c>
      <c r="H25" s="73">
        <v>5.21</v>
      </c>
      <c r="I25" s="73">
        <v>7.16</v>
      </c>
      <c r="J25" s="74">
        <v>27.84</v>
      </c>
    </row>
    <row r="26" spans="1:10" ht="15.75" x14ac:dyDescent="0.25">
      <c r="A26" s="6"/>
      <c r="B26" s="69" t="s">
        <v>12</v>
      </c>
      <c r="C26" s="80">
        <v>36</v>
      </c>
      <c r="D26" s="81" t="s">
        <v>49</v>
      </c>
      <c r="E26" s="82" t="s">
        <v>34</v>
      </c>
      <c r="F26" s="83">
        <v>15.21</v>
      </c>
      <c r="G26" s="8">
        <v>117</v>
      </c>
      <c r="H26" s="8">
        <v>4.45</v>
      </c>
      <c r="I26" s="8">
        <v>3.6</v>
      </c>
      <c r="J26" s="9">
        <v>16.149999999999999</v>
      </c>
    </row>
    <row r="27" spans="1:10" ht="15.75" x14ac:dyDescent="0.25">
      <c r="A27" s="6"/>
      <c r="B27" s="31" t="s">
        <v>33</v>
      </c>
      <c r="C27" s="84">
        <v>6</v>
      </c>
      <c r="D27" s="85" t="s">
        <v>36</v>
      </c>
      <c r="E27" s="86">
        <v>18</v>
      </c>
      <c r="F27" s="58">
        <f>12.44*18/15</f>
        <v>14.927999999999999</v>
      </c>
      <c r="G27" s="8">
        <f>36*18/12</f>
        <v>54</v>
      </c>
      <c r="H27" s="8">
        <f>1.36*18/12</f>
        <v>2.04</v>
      </c>
      <c r="I27" s="8">
        <f>2.76*18/12</f>
        <v>4.1399999999999997</v>
      </c>
      <c r="J27" s="9">
        <f>0.31*18/12</f>
        <v>0.46500000000000002</v>
      </c>
    </row>
    <row r="28" spans="1:10" ht="15.75" x14ac:dyDescent="0.25">
      <c r="A28" s="6"/>
      <c r="B28" s="70"/>
      <c r="C28" s="84">
        <v>3</v>
      </c>
      <c r="D28" s="85" t="s">
        <v>32</v>
      </c>
      <c r="E28" s="86">
        <v>12</v>
      </c>
      <c r="F28" s="58">
        <f>9.82*12/10</f>
        <v>11.784000000000001</v>
      </c>
      <c r="G28" s="8">
        <f>64.7*12/10</f>
        <v>77.640000000000015</v>
      </c>
      <c r="H28" s="8">
        <f>0.08*12/10</f>
        <v>9.6000000000000002E-2</v>
      </c>
      <c r="I28" s="8">
        <f>7.15*12/10</f>
        <v>8.5800000000000018</v>
      </c>
      <c r="J28" s="9">
        <f>0.12*12/10</f>
        <v>0.14399999999999999</v>
      </c>
    </row>
    <row r="29" spans="1:10" ht="15.75" x14ac:dyDescent="0.25">
      <c r="A29" s="6"/>
      <c r="B29" s="69"/>
      <c r="C29" s="87">
        <v>38</v>
      </c>
      <c r="D29" s="85" t="s">
        <v>45</v>
      </c>
      <c r="E29" s="86">
        <v>57</v>
      </c>
      <c r="F29" s="58">
        <f>150*0.057</f>
        <v>8.5500000000000007</v>
      </c>
      <c r="G29" s="8">
        <f>289*57/76</f>
        <v>216.75</v>
      </c>
      <c r="H29" s="8">
        <f>7.06*57/76</f>
        <v>5.294999999999999</v>
      </c>
      <c r="I29" s="8">
        <f>19.76*57/76</f>
        <v>14.820000000000002</v>
      </c>
      <c r="J29" s="9">
        <f>7.06*57/76</f>
        <v>5.294999999999999</v>
      </c>
    </row>
    <row r="30" spans="1:10" ht="15.75" x14ac:dyDescent="0.25">
      <c r="A30" s="6"/>
      <c r="B30" s="31" t="s">
        <v>18</v>
      </c>
      <c r="C30" s="84" t="s">
        <v>22</v>
      </c>
      <c r="D30" s="85" t="s">
        <v>23</v>
      </c>
      <c r="E30" s="86">
        <v>24</v>
      </c>
      <c r="F30" s="58">
        <f>46.14*0.024</f>
        <v>1.1073600000000001</v>
      </c>
      <c r="G30" s="8">
        <f>60*24/30</f>
        <v>48</v>
      </c>
      <c r="H30" s="8">
        <f>1.47*24/30</f>
        <v>1.1759999999999999</v>
      </c>
      <c r="I30" s="8">
        <f>0.3*24/30</f>
        <v>0.23999999999999996</v>
      </c>
      <c r="J30" s="9">
        <f>13.44*24/30</f>
        <v>10.752000000000001</v>
      </c>
    </row>
    <row r="31" spans="1:10" ht="15.75" x14ac:dyDescent="0.25">
      <c r="A31" s="6"/>
      <c r="B31" s="52"/>
      <c r="C31" s="84" t="s">
        <v>22</v>
      </c>
      <c r="D31" s="85" t="s">
        <v>37</v>
      </c>
      <c r="E31" s="86">
        <v>25</v>
      </c>
      <c r="F31" s="58">
        <f>88*0.025</f>
        <v>2.2000000000000002</v>
      </c>
      <c r="G31" s="8">
        <f>62.4*25/30</f>
        <v>52</v>
      </c>
      <c r="H31" s="8">
        <f>2.4*25/30</f>
        <v>2</v>
      </c>
      <c r="I31" s="8">
        <f>19.76*25/30</f>
        <v>16.466666666666669</v>
      </c>
      <c r="J31" s="9">
        <f>7.06*25/30</f>
        <v>5.8833333333333337</v>
      </c>
    </row>
    <row r="32" spans="1:10" ht="16.5" thickBot="1" x14ac:dyDescent="0.3">
      <c r="A32" s="54"/>
      <c r="B32" s="55"/>
      <c r="C32" s="88"/>
      <c r="D32" s="89"/>
      <c r="E32" s="90"/>
      <c r="F32" s="91">
        <v>68.05</v>
      </c>
      <c r="G32" s="56">
        <f>SUM(G25:G31)</f>
        <v>759.23</v>
      </c>
      <c r="H32" s="56">
        <f>SUM(H25:H31)</f>
        <v>20.266999999999996</v>
      </c>
      <c r="I32" s="56">
        <f>SUM(I25:I31)</f>
        <v>55.006666666666675</v>
      </c>
      <c r="J32" s="72">
        <f>SUM(J25:J31)</f>
        <v>66.529333333333341</v>
      </c>
    </row>
    <row r="33" spans="1:13" ht="15.75" x14ac:dyDescent="0.25">
      <c r="A33" s="2" t="s">
        <v>24</v>
      </c>
      <c r="B33" s="3"/>
      <c r="C33" s="92">
        <v>8</v>
      </c>
      <c r="D33" s="93" t="s">
        <v>55</v>
      </c>
      <c r="E33" s="94">
        <v>200</v>
      </c>
      <c r="F33" s="79">
        <v>16.39</v>
      </c>
      <c r="G33" s="4">
        <v>108</v>
      </c>
      <c r="H33" s="4">
        <v>5.8</v>
      </c>
      <c r="I33" s="4">
        <v>5</v>
      </c>
      <c r="J33" s="5">
        <v>9.6</v>
      </c>
    </row>
    <row r="34" spans="1:13" ht="15.75" x14ac:dyDescent="0.25">
      <c r="A34" s="6"/>
      <c r="B34" s="71"/>
      <c r="C34" s="95">
        <v>67</v>
      </c>
      <c r="D34" s="96" t="s">
        <v>56</v>
      </c>
      <c r="E34" s="97">
        <v>150</v>
      </c>
      <c r="F34" s="83">
        <v>36.42</v>
      </c>
      <c r="G34" s="12">
        <v>376.67</v>
      </c>
      <c r="H34" s="12">
        <v>7</v>
      </c>
      <c r="I34" s="12">
        <v>13.83</v>
      </c>
      <c r="J34" s="37">
        <v>55.83</v>
      </c>
    </row>
    <row r="35" spans="1:13" ht="16.5" thickBot="1" x14ac:dyDescent="0.3">
      <c r="A35" s="53"/>
      <c r="B35" s="39"/>
      <c r="C35" s="98"/>
      <c r="D35" s="99"/>
      <c r="E35" s="100"/>
      <c r="F35" s="101">
        <v>51.02</v>
      </c>
      <c r="G35" s="59">
        <f>SUM(G33:G34)</f>
        <v>484.67</v>
      </c>
      <c r="H35" s="59">
        <f>SUM(H33:H34)</f>
        <v>12.8</v>
      </c>
      <c r="I35" s="59">
        <f>SUM(I33:I34)</f>
        <v>18.829999999999998</v>
      </c>
      <c r="J35" s="60">
        <f>SUM(J33:J34)</f>
        <v>65.429999999999993</v>
      </c>
    </row>
    <row r="36" spans="1:13" ht="15.75" x14ac:dyDescent="0.25">
      <c r="A36" s="2" t="s">
        <v>13</v>
      </c>
      <c r="B36" s="3" t="s">
        <v>14</v>
      </c>
      <c r="C36" s="102">
        <v>1</v>
      </c>
      <c r="D36" s="103" t="s">
        <v>59</v>
      </c>
      <c r="E36" s="43">
        <v>75</v>
      </c>
      <c r="F36" s="104">
        <f>31.6*75/100</f>
        <v>23.7</v>
      </c>
      <c r="G36" s="105">
        <f>30*75/75</f>
        <v>30</v>
      </c>
      <c r="H36" s="106">
        <f>2.33*75/75</f>
        <v>2.33</v>
      </c>
      <c r="I36" s="106">
        <f>0.15*75/75</f>
        <v>0.15</v>
      </c>
      <c r="J36" s="107">
        <f>4.88*75/75</f>
        <v>4.88</v>
      </c>
    </row>
    <row r="37" spans="1:13" ht="45" x14ac:dyDescent="0.25">
      <c r="A37" s="6"/>
      <c r="B37" s="7" t="s">
        <v>15</v>
      </c>
      <c r="C37" s="48">
        <v>55</v>
      </c>
      <c r="D37" s="49" t="s">
        <v>51</v>
      </c>
      <c r="E37" s="75" t="s">
        <v>64</v>
      </c>
      <c r="F37" s="58">
        <f>5.7*180/185+6.43*65/65+4.69*0.5</f>
        <v>14.320945945945946</v>
      </c>
      <c r="G37" s="8">
        <v>193.5</v>
      </c>
      <c r="H37" s="8">
        <v>5.23</v>
      </c>
      <c r="I37" s="8">
        <v>6.28</v>
      </c>
      <c r="J37" s="9">
        <v>29</v>
      </c>
      <c r="M37" t="s">
        <v>35</v>
      </c>
    </row>
    <row r="38" spans="1:13" ht="30" x14ac:dyDescent="0.25">
      <c r="A38" s="6"/>
      <c r="B38" s="7" t="s">
        <v>16</v>
      </c>
      <c r="C38" s="48">
        <v>14</v>
      </c>
      <c r="D38" s="49" t="s">
        <v>53</v>
      </c>
      <c r="E38" s="44" t="s">
        <v>50</v>
      </c>
      <c r="F38" s="58">
        <v>41.04</v>
      </c>
      <c r="G38" s="8">
        <v>238</v>
      </c>
      <c r="H38" s="8">
        <v>15.13</v>
      </c>
      <c r="I38" s="8">
        <v>14.09</v>
      </c>
      <c r="J38" s="9">
        <v>8.4499999999999993</v>
      </c>
    </row>
    <row r="39" spans="1:13" ht="15.75" x14ac:dyDescent="0.25">
      <c r="A39" s="6"/>
      <c r="B39" s="7" t="s">
        <v>40</v>
      </c>
      <c r="C39" s="48">
        <v>71</v>
      </c>
      <c r="D39" s="49" t="s">
        <v>42</v>
      </c>
      <c r="E39" s="44" t="s">
        <v>52</v>
      </c>
      <c r="F39" s="58">
        <v>18.329999999999998</v>
      </c>
      <c r="G39" s="8">
        <v>149.4</v>
      </c>
      <c r="H39" s="8">
        <v>3.6</v>
      </c>
      <c r="I39" s="8">
        <v>6.48</v>
      </c>
      <c r="J39" s="9">
        <v>19.079999999999998</v>
      </c>
    </row>
    <row r="40" spans="1:13" ht="15.75" x14ac:dyDescent="0.25">
      <c r="A40" s="6"/>
      <c r="B40" s="7" t="s">
        <v>25</v>
      </c>
      <c r="C40" s="48">
        <v>17</v>
      </c>
      <c r="D40" s="49" t="s">
        <v>57</v>
      </c>
      <c r="E40" s="44">
        <v>200</v>
      </c>
      <c r="F40" s="58">
        <v>4.12</v>
      </c>
      <c r="G40" s="8">
        <v>80</v>
      </c>
      <c r="H40" s="8">
        <v>0.44</v>
      </c>
      <c r="I40" s="8">
        <v>0</v>
      </c>
      <c r="J40" s="9">
        <v>18.899999999999999</v>
      </c>
    </row>
    <row r="41" spans="1:13" ht="15.75" x14ac:dyDescent="0.25">
      <c r="A41" s="6"/>
      <c r="B41" s="7" t="s">
        <v>19</v>
      </c>
      <c r="C41" s="48" t="s">
        <v>22</v>
      </c>
      <c r="D41" s="49" t="s">
        <v>26</v>
      </c>
      <c r="E41" s="44" t="s">
        <v>60</v>
      </c>
      <c r="F41" s="58">
        <f>68*0.039</f>
        <v>2.6520000000000001</v>
      </c>
      <c r="G41" s="8">
        <f>83.2*39/40</f>
        <v>81.12</v>
      </c>
      <c r="H41" s="8">
        <f>3.2*39/40</f>
        <v>3.12</v>
      </c>
      <c r="I41" s="8">
        <f>0.06*39/40</f>
        <v>5.8499999999999996E-2</v>
      </c>
      <c r="J41" s="9">
        <f>16.04*39/40</f>
        <v>15.638999999999999</v>
      </c>
    </row>
    <row r="42" spans="1:13" ht="15.75" x14ac:dyDescent="0.25">
      <c r="A42" s="6"/>
      <c r="B42" s="13" t="s">
        <v>17</v>
      </c>
      <c r="C42" s="50" t="s">
        <v>22</v>
      </c>
      <c r="D42" s="51" t="s">
        <v>23</v>
      </c>
      <c r="E42" s="45" t="s">
        <v>61</v>
      </c>
      <c r="F42" s="61">
        <v>1.65</v>
      </c>
      <c r="G42" s="10">
        <f>80*38/40</f>
        <v>76</v>
      </c>
      <c r="H42" s="10">
        <f>1.96*38/40</f>
        <v>1.8620000000000001</v>
      </c>
      <c r="I42" s="10">
        <f>0.4*38/40</f>
        <v>0.38</v>
      </c>
      <c r="J42" s="11">
        <f>17.92*38/40</f>
        <v>17.024000000000001</v>
      </c>
    </row>
    <row r="43" spans="1:13" ht="16.5" thickBot="1" x14ac:dyDescent="0.3">
      <c r="A43" s="6"/>
      <c r="B43" s="39"/>
      <c r="C43" s="40"/>
      <c r="D43" s="40"/>
      <c r="E43" s="47"/>
      <c r="F43" s="62">
        <v>102.06</v>
      </c>
      <c r="G43" s="41">
        <f>SUM(G36:G42)</f>
        <v>848.02</v>
      </c>
      <c r="H43" s="41">
        <f>SUM(H36:H42)</f>
        <v>31.712000000000003</v>
      </c>
      <c r="I43" s="41">
        <f>SUM(I36:I42)</f>
        <v>27.438499999999998</v>
      </c>
      <c r="J43" s="42">
        <f>SUM(J36:J42)</f>
        <v>112.973</v>
      </c>
    </row>
    <row r="44" spans="1:13" x14ac:dyDescent="0.25">
      <c r="A44" s="22" t="s">
        <v>30</v>
      </c>
    </row>
    <row r="45" spans="1:13" x14ac:dyDescent="0.25">
      <c r="A45" s="22" t="s">
        <v>38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G29 G3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tabSelected="1" workbookViewId="0">
      <selection activeCell="I1" sqref="I1:I1048576"/>
    </sheetView>
  </sheetViews>
  <sheetFormatPr defaultColWidth="8.85546875" defaultRowHeight="15" x14ac:dyDescent="0.25"/>
  <cols>
    <col min="1" max="1" width="11.7109375" style="23" bestFit="1" customWidth="1"/>
    <col min="2" max="2" width="11.5703125" style="23" customWidth="1"/>
    <col min="3" max="3" width="7.140625" style="23" bestFit="1" customWidth="1"/>
    <col min="4" max="4" width="24.7109375" style="23" bestFit="1" customWidth="1"/>
    <col min="5" max="5" width="8.140625" style="24" bestFit="1" customWidth="1"/>
    <col min="6" max="6" width="8.28515625" style="24" bestFit="1" customWidth="1"/>
    <col min="7" max="7" width="7.7109375" style="23" customWidth="1"/>
    <col min="8" max="8" width="6.140625" style="23" bestFit="1" customWidth="1"/>
    <col min="9" max="9" width="12.140625" style="23" customWidth="1"/>
    <col min="10" max="10" width="8.5703125" style="23" customWidth="1"/>
    <col min="11" max="16384" width="8.85546875" style="23"/>
  </cols>
  <sheetData>
    <row r="1" spans="1:10" ht="28.9" customHeight="1" x14ac:dyDescent="0.25">
      <c r="A1" s="23" t="s">
        <v>0</v>
      </c>
      <c r="B1" s="111" t="s">
        <v>67</v>
      </c>
      <c r="C1" s="112"/>
      <c r="D1" s="113"/>
      <c r="E1" s="24" t="s">
        <v>28</v>
      </c>
      <c r="F1" s="25"/>
      <c r="H1" s="23" t="s">
        <v>1</v>
      </c>
      <c r="I1" s="26">
        <v>44956</v>
      </c>
    </row>
    <row r="2" spans="1:10" ht="15.75" thickBot="1" x14ac:dyDescent="0.3">
      <c r="B2" s="27" t="s">
        <v>31</v>
      </c>
    </row>
    <row r="3" spans="1:10" s="28" customFormat="1" ht="30.75" thickBot="1" x14ac:dyDescent="0.3">
      <c r="A3" s="63" t="s">
        <v>2</v>
      </c>
      <c r="B3" s="64" t="s">
        <v>3</v>
      </c>
      <c r="C3" s="64" t="s">
        <v>20</v>
      </c>
      <c r="D3" s="64" t="s">
        <v>4</v>
      </c>
      <c r="E3" s="65" t="s">
        <v>21</v>
      </c>
      <c r="F3" s="65" t="s">
        <v>5</v>
      </c>
      <c r="G3" s="66" t="s">
        <v>6</v>
      </c>
      <c r="H3" s="64" t="s">
        <v>7</v>
      </c>
      <c r="I3" s="64" t="s">
        <v>8</v>
      </c>
      <c r="J3" s="67" t="s">
        <v>9</v>
      </c>
    </row>
    <row r="4" spans="1:10" s="28" customFormat="1" ht="15.75" x14ac:dyDescent="0.25">
      <c r="A4" s="2" t="s">
        <v>10</v>
      </c>
      <c r="B4" s="3" t="s">
        <v>11</v>
      </c>
      <c r="C4" s="76">
        <v>46</v>
      </c>
      <c r="D4" s="77" t="s">
        <v>44</v>
      </c>
      <c r="E4" s="78" t="s">
        <v>34</v>
      </c>
      <c r="F4" s="79">
        <v>22.14</v>
      </c>
      <c r="G4" s="73">
        <v>193.84</v>
      </c>
      <c r="H4" s="73">
        <v>5.21</v>
      </c>
      <c r="I4" s="73">
        <v>7.16</v>
      </c>
      <c r="J4" s="74">
        <v>27.84</v>
      </c>
    </row>
    <row r="5" spans="1:10" ht="15" customHeight="1" x14ac:dyDescent="0.25">
      <c r="A5" s="6"/>
      <c r="B5" s="69" t="s">
        <v>12</v>
      </c>
      <c r="C5" s="80">
        <v>36</v>
      </c>
      <c r="D5" s="81" t="s">
        <v>49</v>
      </c>
      <c r="E5" s="82" t="s">
        <v>34</v>
      </c>
      <c r="F5" s="83">
        <v>20.23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31" t="s">
        <v>33</v>
      </c>
      <c r="C6" s="84">
        <v>6</v>
      </c>
      <c r="D6" s="85" t="s">
        <v>36</v>
      </c>
      <c r="E6" s="86">
        <v>13</v>
      </c>
      <c r="F6" s="58">
        <f>13.44*13/12</f>
        <v>14.56</v>
      </c>
      <c r="G6" s="8">
        <f>36*12/12</f>
        <v>36</v>
      </c>
      <c r="H6" s="8">
        <f>1.36*12/12</f>
        <v>1.36</v>
      </c>
      <c r="I6" s="8">
        <f>2.76*12/12</f>
        <v>2.76</v>
      </c>
      <c r="J6" s="9">
        <f>0.31*12/12</f>
        <v>0.31</v>
      </c>
    </row>
    <row r="7" spans="1:10" ht="15.75" x14ac:dyDescent="0.25">
      <c r="A7" s="6"/>
      <c r="B7" s="70"/>
      <c r="C7" s="84">
        <v>3</v>
      </c>
      <c r="D7" s="85" t="s">
        <v>32</v>
      </c>
      <c r="E7" s="86">
        <v>12</v>
      </c>
      <c r="F7" s="58">
        <f>13.06*12/10</f>
        <v>15.672000000000001</v>
      </c>
      <c r="G7" s="8">
        <f>64.7*12/10</f>
        <v>77.640000000000015</v>
      </c>
      <c r="H7" s="8">
        <f>0.08*12/10</f>
        <v>9.6000000000000002E-2</v>
      </c>
      <c r="I7" s="8">
        <f>7.15*12/10</f>
        <v>8.5800000000000018</v>
      </c>
      <c r="J7" s="9">
        <f>0.12*12/10</f>
        <v>0.14399999999999999</v>
      </c>
    </row>
    <row r="8" spans="1:10" ht="15.75" x14ac:dyDescent="0.25">
      <c r="A8" s="6"/>
      <c r="B8" s="69"/>
      <c r="C8" s="87" t="s">
        <v>22</v>
      </c>
      <c r="D8" s="85" t="s">
        <v>66</v>
      </c>
      <c r="E8" s="86">
        <v>20</v>
      </c>
      <c r="F8" s="58">
        <f>243.6*0.02*1.33</f>
        <v>6.4797600000000006</v>
      </c>
      <c r="G8" s="8">
        <v>144.74</v>
      </c>
      <c r="H8" s="8">
        <v>3.53</v>
      </c>
      <c r="I8" s="8">
        <f>9.88</f>
        <v>9.8800000000000008</v>
      </c>
      <c r="J8" s="9">
        <f>3.53</f>
        <v>3.53</v>
      </c>
    </row>
    <row r="9" spans="1:10" ht="15.75" x14ac:dyDescent="0.25">
      <c r="A9" s="6"/>
      <c r="B9" s="31" t="s">
        <v>18</v>
      </c>
      <c r="C9" s="84" t="s">
        <v>22</v>
      </c>
      <c r="D9" s="85" t="s">
        <v>23</v>
      </c>
      <c r="E9" s="86">
        <v>30</v>
      </c>
      <c r="F9" s="58">
        <f>55.37*0.03</f>
        <v>1.6610999999999998</v>
      </c>
      <c r="G9" s="8">
        <f>40*30/20</f>
        <v>60</v>
      </c>
      <c r="H9" s="8">
        <f>0.98*30/20</f>
        <v>1.47</v>
      </c>
      <c r="I9" s="8">
        <f>0.2*30/20</f>
        <v>0.3</v>
      </c>
      <c r="J9" s="9">
        <f>8.95*30/20</f>
        <v>13.425000000000001</v>
      </c>
    </row>
    <row r="10" spans="1:10" ht="15.75" x14ac:dyDescent="0.25">
      <c r="A10" s="6"/>
      <c r="B10" s="52"/>
      <c r="C10" s="84" t="s">
        <v>22</v>
      </c>
      <c r="D10" s="85" t="s">
        <v>37</v>
      </c>
      <c r="E10" s="86">
        <v>31</v>
      </c>
      <c r="F10" s="58">
        <f>105.6*0.031</f>
        <v>3.2735999999999996</v>
      </c>
      <c r="G10" s="8">
        <f>41.6*31/20</f>
        <v>64.48</v>
      </c>
      <c r="H10" s="8">
        <f>1.6*31/20</f>
        <v>2.48</v>
      </c>
      <c r="I10" s="8">
        <f>0.03*31/20</f>
        <v>4.65E-2</v>
      </c>
      <c r="J10" s="9">
        <f>8.02*31/20</f>
        <v>12.430999999999999</v>
      </c>
    </row>
    <row r="11" spans="1:10" ht="16.5" thickBot="1" x14ac:dyDescent="0.3">
      <c r="A11" s="54"/>
      <c r="B11" s="55"/>
      <c r="C11" s="88"/>
      <c r="D11" s="89"/>
      <c r="E11" s="90"/>
      <c r="F11" s="91">
        <v>78</v>
      </c>
      <c r="G11" s="56">
        <f>SUM(G4:G10)</f>
        <v>693.7</v>
      </c>
      <c r="H11" s="56">
        <f>SUM(H4:H10)</f>
        <v>18.596</v>
      </c>
      <c r="I11" s="56">
        <f>SUM(I4:I10)</f>
        <v>32.326500000000003</v>
      </c>
      <c r="J11" s="72">
        <f>SUM(J4:J10)</f>
        <v>73.83</v>
      </c>
    </row>
    <row r="12" spans="1:10" ht="30" x14ac:dyDescent="0.25">
      <c r="A12" s="30"/>
      <c r="B12" s="7" t="s">
        <v>16</v>
      </c>
      <c r="C12" s="48">
        <v>14</v>
      </c>
      <c r="D12" s="49" t="s">
        <v>53</v>
      </c>
      <c r="E12" s="44" t="s">
        <v>50</v>
      </c>
      <c r="F12" s="58">
        <f>45.91*100/90</f>
        <v>51.011111111111113</v>
      </c>
      <c r="G12" s="8">
        <v>238</v>
      </c>
      <c r="H12" s="8">
        <v>15.13</v>
      </c>
      <c r="I12" s="8">
        <v>14.09</v>
      </c>
      <c r="J12" s="9">
        <v>8.4499999999999993</v>
      </c>
    </row>
    <row r="13" spans="1:10" ht="30" x14ac:dyDescent="0.25">
      <c r="A13" s="30"/>
      <c r="B13" s="7" t="s">
        <v>40</v>
      </c>
      <c r="C13" s="48">
        <v>24</v>
      </c>
      <c r="D13" s="49" t="s">
        <v>54</v>
      </c>
      <c r="E13" s="44" t="s">
        <v>52</v>
      </c>
      <c r="F13" s="58">
        <f>24.64*180/150</f>
        <v>29.567999999999998</v>
      </c>
      <c r="G13" s="8">
        <v>300.94</v>
      </c>
      <c r="H13" s="8">
        <v>6.28</v>
      </c>
      <c r="I13" s="8">
        <v>9.94</v>
      </c>
      <c r="J13" s="9">
        <v>46.69</v>
      </c>
    </row>
    <row r="14" spans="1:10" ht="15" customHeight="1" x14ac:dyDescent="0.25">
      <c r="A14" s="30"/>
      <c r="B14" s="31" t="s">
        <v>41</v>
      </c>
      <c r="C14" s="84">
        <v>15</v>
      </c>
      <c r="D14" s="85" t="s">
        <v>46</v>
      </c>
      <c r="E14" s="86">
        <v>25</v>
      </c>
      <c r="F14" s="58">
        <f>3.43*30/25</f>
        <v>4.1160000000000005</v>
      </c>
      <c r="G14" s="8">
        <v>21.25</v>
      </c>
      <c r="H14" s="8">
        <v>0.45</v>
      </c>
      <c r="I14" s="8">
        <v>1.31</v>
      </c>
      <c r="J14" s="9">
        <v>1.92</v>
      </c>
    </row>
    <row r="15" spans="1:10" ht="16.149999999999999" customHeight="1" x14ac:dyDescent="0.25">
      <c r="A15" s="30"/>
      <c r="B15" s="7" t="s">
        <v>41</v>
      </c>
      <c r="C15" s="87" t="s">
        <v>22</v>
      </c>
      <c r="D15" s="85" t="s">
        <v>66</v>
      </c>
      <c r="E15" s="86">
        <v>20</v>
      </c>
      <c r="F15" s="58">
        <f>243.6*0.02*1.33</f>
        <v>6.4797600000000006</v>
      </c>
      <c r="G15" s="8">
        <v>144.74</v>
      </c>
      <c r="H15" s="8">
        <v>3.53</v>
      </c>
      <c r="I15" s="8">
        <f>9.88</f>
        <v>9.8800000000000008</v>
      </c>
      <c r="J15" s="9">
        <f>3.53</f>
        <v>3.53</v>
      </c>
    </row>
    <row r="16" spans="1:10" ht="15.75" x14ac:dyDescent="0.25">
      <c r="A16" s="30"/>
      <c r="B16" s="7" t="s">
        <v>25</v>
      </c>
      <c r="C16" s="48">
        <v>17</v>
      </c>
      <c r="D16" s="49" t="s">
        <v>48</v>
      </c>
      <c r="E16" s="44">
        <v>200</v>
      </c>
      <c r="F16" s="58">
        <v>5.48</v>
      </c>
      <c r="G16" s="8">
        <v>80</v>
      </c>
      <c r="H16" s="8">
        <v>0.44</v>
      </c>
      <c r="I16" s="8">
        <v>0</v>
      </c>
      <c r="J16" s="9">
        <v>18.899999999999999</v>
      </c>
    </row>
    <row r="17" spans="1:10" ht="15.75" x14ac:dyDescent="0.25">
      <c r="A17" s="30"/>
      <c r="B17" s="7" t="s">
        <v>19</v>
      </c>
      <c r="C17" s="48" t="s">
        <v>22</v>
      </c>
      <c r="D17" s="49" t="s">
        <v>26</v>
      </c>
      <c r="E17" s="44" t="s">
        <v>62</v>
      </c>
      <c r="F17" s="58">
        <f>81.6*0.029</f>
        <v>2.3664000000000001</v>
      </c>
      <c r="G17" s="8">
        <f>62.4*29/30</f>
        <v>60.32</v>
      </c>
      <c r="H17" s="8">
        <f>2.4*29/30</f>
        <v>2.3199999999999998</v>
      </c>
      <c r="I17" s="8">
        <f>0.45*29/30</f>
        <v>0.435</v>
      </c>
      <c r="J17" s="9">
        <f>11.37*29/30</f>
        <v>10.990999999999998</v>
      </c>
    </row>
    <row r="18" spans="1:10" ht="15.75" x14ac:dyDescent="0.25">
      <c r="A18" s="30"/>
      <c r="B18" s="13" t="s">
        <v>17</v>
      </c>
      <c r="C18" s="50" t="s">
        <v>22</v>
      </c>
      <c r="D18" s="51" t="s">
        <v>23</v>
      </c>
      <c r="E18" s="45" t="s">
        <v>63</v>
      </c>
      <c r="F18" s="61">
        <v>1.52</v>
      </c>
      <c r="G18" s="10">
        <f>60*28/30</f>
        <v>56</v>
      </c>
      <c r="H18" s="10">
        <f>1.47*28/30</f>
        <v>1.3719999999999999</v>
      </c>
      <c r="I18" s="10">
        <f>0.3*28/30</f>
        <v>0.28000000000000003</v>
      </c>
      <c r="J18" s="11">
        <f>13.44*28/30</f>
        <v>12.544</v>
      </c>
    </row>
    <row r="19" spans="1:10" ht="16.5" thickBot="1" x14ac:dyDescent="0.3">
      <c r="A19" s="32"/>
      <c r="B19" s="33"/>
      <c r="C19" s="34"/>
      <c r="D19" s="34"/>
      <c r="E19" s="57"/>
      <c r="F19" s="68">
        <v>100</v>
      </c>
      <c r="G19" s="35">
        <f>SUM(G12:G18)</f>
        <v>901.25000000000011</v>
      </c>
      <c r="H19" s="35">
        <f>SUM(H12:H18)</f>
        <v>29.522000000000002</v>
      </c>
      <c r="I19" s="35">
        <f>SUM(I12:I18)</f>
        <v>35.935000000000002</v>
      </c>
      <c r="J19" s="36">
        <f>SUM(J12:J18)</f>
        <v>103.02500000000001</v>
      </c>
    </row>
    <row r="20" spans="1:10" ht="31.5" x14ac:dyDescent="0.25">
      <c r="A20" s="29"/>
      <c r="B20" s="7" t="s">
        <v>15</v>
      </c>
      <c r="C20" s="48">
        <v>55</v>
      </c>
      <c r="D20" s="49" t="s">
        <v>43</v>
      </c>
      <c r="E20" s="75" t="s">
        <v>58</v>
      </c>
      <c r="F20" s="58">
        <f>7.98*165/185+8.56*65/65+6.25*2</f>
        <v>28.177297297297297</v>
      </c>
      <c r="G20" s="8">
        <v>193.5</v>
      </c>
      <c r="H20" s="8">
        <v>5.23</v>
      </c>
      <c r="I20" s="8">
        <v>6.28</v>
      </c>
      <c r="J20" s="9">
        <v>29</v>
      </c>
    </row>
    <row r="21" spans="1:10" ht="30" x14ac:dyDescent="0.25">
      <c r="A21" s="30"/>
      <c r="B21" s="7" t="s">
        <v>16</v>
      </c>
      <c r="C21" s="48">
        <v>14</v>
      </c>
      <c r="D21" s="49" t="s">
        <v>53</v>
      </c>
      <c r="E21" s="44" t="s">
        <v>39</v>
      </c>
      <c r="F21" s="58">
        <f>45.91*100/90</f>
        <v>51.011111111111113</v>
      </c>
      <c r="G21" s="8">
        <v>214.2</v>
      </c>
      <c r="H21" s="8">
        <v>13.62</v>
      </c>
      <c r="I21" s="8">
        <v>12.68</v>
      </c>
      <c r="J21" s="9">
        <v>7.61</v>
      </c>
    </row>
    <row r="22" spans="1:10" ht="30" x14ac:dyDescent="0.25">
      <c r="A22" s="30"/>
      <c r="B22" s="7" t="s">
        <v>40</v>
      </c>
      <c r="C22" s="48">
        <v>24</v>
      </c>
      <c r="D22" s="49" t="s">
        <v>54</v>
      </c>
      <c r="E22" s="44" t="s">
        <v>52</v>
      </c>
      <c r="F22" s="58">
        <f>24.64*180/150</f>
        <v>29.567999999999998</v>
      </c>
      <c r="G22" s="8">
        <v>300.94</v>
      </c>
      <c r="H22" s="8">
        <v>6.28</v>
      </c>
      <c r="I22" s="8">
        <v>9.94</v>
      </c>
      <c r="J22" s="9">
        <v>46.69</v>
      </c>
    </row>
    <row r="23" spans="1:10" ht="13.9" customHeight="1" x14ac:dyDescent="0.25">
      <c r="A23" s="30"/>
      <c r="B23" s="31" t="s">
        <v>41</v>
      </c>
      <c r="C23" s="84">
        <v>15</v>
      </c>
      <c r="D23" s="85" t="s">
        <v>46</v>
      </c>
      <c r="E23" s="86">
        <v>40</v>
      </c>
      <c r="F23" s="58">
        <f>3.43*40/25</f>
        <v>5.4880000000000004</v>
      </c>
      <c r="G23" s="8">
        <f>64.7*15/10</f>
        <v>97.05</v>
      </c>
      <c r="H23" s="8">
        <f>0.08*15/10</f>
        <v>0.12</v>
      </c>
      <c r="I23" s="8">
        <f>7.15*15/10</f>
        <v>10.725</v>
      </c>
      <c r="J23" s="9">
        <f>0.12*15/10</f>
        <v>0.18</v>
      </c>
    </row>
    <row r="24" spans="1:10" ht="15.75" x14ac:dyDescent="0.25">
      <c r="A24" s="30"/>
      <c r="B24" s="7" t="s">
        <v>25</v>
      </c>
      <c r="C24" s="48">
        <v>17</v>
      </c>
      <c r="D24" s="49" t="s">
        <v>48</v>
      </c>
      <c r="E24" s="44">
        <v>200</v>
      </c>
      <c r="F24" s="58">
        <v>5.48</v>
      </c>
      <c r="G24" s="8">
        <v>136</v>
      </c>
      <c r="H24" s="8">
        <v>0.6</v>
      </c>
      <c r="I24" s="8">
        <v>0</v>
      </c>
      <c r="J24" s="9">
        <v>33</v>
      </c>
    </row>
    <row r="25" spans="1:10" ht="15.75" x14ac:dyDescent="0.25">
      <c r="A25" s="30"/>
      <c r="B25" s="7" t="s">
        <v>19</v>
      </c>
      <c r="C25" s="48" t="s">
        <v>22</v>
      </c>
      <c r="D25" s="49" t="s">
        <v>26</v>
      </c>
      <c r="E25" s="44" t="s">
        <v>60</v>
      </c>
      <c r="F25" s="58">
        <f>81.6*0.039</f>
        <v>3.1823999999999999</v>
      </c>
      <c r="G25" s="8">
        <f>62.4*39/30</f>
        <v>81.11999999999999</v>
      </c>
      <c r="H25" s="8">
        <f>2.4*39/30</f>
        <v>3.1199999999999997</v>
      </c>
      <c r="I25" s="8">
        <f>0.45*39/30</f>
        <v>0.58500000000000008</v>
      </c>
      <c r="J25" s="9">
        <f>11.37*39/30</f>
        <v>14.780999999999999</v>
      </c>
    </row>
    <row r="26" spans="1:10" ht="15.75" x14ac:dyDescent="0.25">
      <c r="A26" s="30"/>
      <c r="B26" s="13" t="s">
        <v>17</v>
      </c>
      <c r="C26" s="50" t="s">
        <v>22</v>
      </c>
      <c r="D26" s="51" t="s">
        <v>23</v>
      </c>
      <c r="E26" s="45" t="s">
        <v>61</v>
      </c>
      <c r="F26" s="61">
        <v>2.09</v>
      </c>
      <c r="G26" s="10">
        <f>60*38/30</f>
        <v>76</v>
      </c>
      <c r="H26" s="10">
        <f>1.47*38/30</f>
        <v>1.8619999999999999</v>
      </c>
      <c r="I26" s="10">
        <f>0.3*38/30</f>
        <v>0.38</v>
      </c>
      <c r="J26" s="11">
        <f>13.44*38/30</f>
        <v>17.023999999999997</v>
      </c>
    </row>
    <row r="27" spans="1:10" ht="16.5" thickBot="1" x14ac:dyDescent="0.3">
      <c r="A27" s="32"/>
      <c r="B27" s="33"/>
      <c r="C27" s="34"/>
      <c r="D27" s="34"/>
      <c r="E27" s="57"/>
      <c r="F27" s="68">
        <f>SUM(F20:F26)</f>
        <v>124.99680840840841</v>
      </c>
      <c r="G27" s="35">
        <f>SUM(G21:G26)</f>
        <v>905.31</v>
      </c>
      <c r="H27" s="35">
        <f>SUM(H21:H26)</f>
        <v>25.602</v>
      </c>
      <c r="I27" s="35">
        <f>SUM(I21:I26)</f>
        <v>34.31</v>
      </c>
      <c r="J27" s="36">
        <f>SUM(J21:J26)</f>
        <v>119.285</v>
      </c>
    </row>
    <row r="28" spans="1:10" customFormat="1" x14ac:dyDescent="0.25">
      <c r="A28" s="22" t="s">
        <v>30</v>
      </c>
      <c r="E28" s="16"/>
      <c r="F28" s="16"/>
    </row>
    <row r="29" spans="1:10" customFormat="1" x14ac:dyDescent="0.25">
      <c r="A29" s="22" t="s">
        <v>38</v>
      </c>
      <c r="E29" s="16"/>
      <c r="F29" s="16"/>
    </row>
    <row r="30" spans="1:10" customFormat="1" x14ac:dyDescent="0.25">
      <c r="E30" s="16"/>
      <c r="F30" s="16"/>
    </row>
    <row r="31" spans="1:10" customFormat="1" x14ac:dyDescent="0.25">
      <c r="E31" s="16"/>
      <c r="F31" s="16"/>
    </row>
    <row r="32" spans="1:10" customFormat="1" x14ac:dyDescent="0.25">
      <c r="E32" s="16"/>
      <c r="F32" s="16"/>
    </row>
    <row r="37" spans="1:4" x14ac:dyDescent="0.25">
      <c r="A37" s="22"/>
      <c r="B37"/>
      <c r="C37"/>
      <c r="D37"/>
    </row>
    <row r="38" spans="1:4" x14ac:dyDescent="0.25">
      <c r="A38"/>
      <c r="B38"/>
      <c r="C38"/>
      <c r="D38"/>
    </row>
    <row r="39" spans="1:4" x14ac:dyDescent="0.25">
      <c r="A39" s="22"/>
      <c r="B39"/>
      <c r="C39"/>
      <c r="D39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J10:J11 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2022-04-26T06:07:45Z</cp:lastPrinted>
  <dcterms:created xsi:type="dcterms:W3CDTF">2015-06-05T18:19:34Z</dcterms:created>
  <dcterms:modified xsi:type="dcterms:W3CDTF">2023-01-27T05:22:05Z</dcterms:modified>
</cp:coreProperties>
</file>