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07EF2FE4-5B73-4F4B-B868-4DB04CBC115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2" l="1"/>
  <c r="F20" i="2"/>
  <c r="F22" i="2"/>
  <c r="F23" i="2"/>
  <c r="F21" i="2"/>
  <c r="F17" i="2"/>
  <c r="F16" i="2"/>
  <c r="F12" i="2"/>
  <c r="F14" i="2"/>
  <c r="F13" i="2"/>
  <c r="F39" i="1"/>
  <c r="F35" i="1"/>
  <c r="F37" i="1"/>
  <c r="F26" i="1"/>
  <c r="F29" i="1"/>
  <c r="F28" i="1"/>
  <c r="F36" i="1"/>
  <c r="F20" i="1"/>
  <c r="F15" i="1"/>
  <c r="F17" i="1"/>
  <c r="F16" i="1"/>
  <c r="F24" i="2"/>
  <c r="F15" i="2"/>
  <c r="F6" i="2"/>
  <c r="F9" i="2"/>
  <c r="F10" i="2"/>
  <c r="F30" i="1"/>
  <c r="J27" i="1"/>
  <c r="I27" i="1"/>
  <c r="H27" i="1"/>
  <c r="G27" i="1"/>
  <c r="F7" i="1"/>
  <c r="J7" i="1"/>
  <c r="I7" i="1"/>
  <c r="H7" i="1"/>
  <c r="G7" i="1"/>
  <c r="F9" i="1"/>
  <c r="F10" i="1"/>
  <c r="F8" i="2"/>
  <c r="F11" i="2" l="1"/>
  <c r="F8" i="1"/>
  <c r="F11" i="1" s="1"/>
  <c r="F31" i="1" l="1"/>
  <c r="J26" i="2"/>
  <c r="I26" i="2"/>
  <c r="H26" i="2"/>
  <c r="G26" i="2"/>
  <c r="J25" i="2"/>
  <c r="I25" i="2"/>
  <c r="H25" i="2"/>
  <c r="G25" i="2"/>
  <c r="G28" i="2" s="1"/>
  <c r="J22" i="2"/>
  <c r="J28" i="2" s="1"/>
  <c r="I22" i="2"/>
  <c r="I28" i="2" s="1"/>
  <c r="H22" i="2"/>
  <c r="H28" i="2" s="1"/>
  <c r="G22" i="2"/>
  <c r="F28" i="2" l="1"/>
  <c r="F19" i="2"/>
  <c r="J13" i="2" l="1"/>
  <c r="I13" i="2"/>
  <c r="H13" i="2"/>
  <c r="G13" i="2"/>
  <c r="F34" i="1" l="1"/>
  <c r="F14" i="1"/>
  <c r="F41" i="1" l="1"/>
  <c r="F21" i="1"/>
  <c r="J20" i="1"/>
  <c r="I20" i="1"/>
  <c r="H20" i="1"/>
  <c r="G20" i="1"/>
  <c r="J19" i="1"/>
  <c r="I19" i="1"/>
  <c r="H19" i="1"/>
  <c r="G19" i="1"/>
  <c r="J10" i="1"/>
  <c r="I10" i="1"/>
  <c r="H10" i="1"/>
  <c r="G10" i="1"/>
  <c r="G21" i="1" l="1"/>
  <c r="J17" i="2"/>
  <c r="J16" i="2"/>
  <c r="J19" i="2" s="1"/>
  <c r="I17" i="2"/>
  <c r="I16" i="2"/>
  <c r="I19" i="2" s="1"/>
  <c r="H17" i="2"/>
  <c r="H16" i="2"/>
  <c r="H19" i="2" s="1"/>
  <c r="G17" i="2"/>
  <c r="G16" i="2"/>
  <c r="J7" i="2"/>
  <c r="J6" i="2"/>
  <c r="J11" i="2" s="1"/>
  <c r="I7" i="2"/>
  <c r="I6" i="2"/>
  <c r="H7" i="2"/>
  <c r="H6" i="2"/>
  <c r="H11" i="2" s="1"/>
  <c r="G7" i="2"/>
  <c r="G6" i="2"/>
  <c r="J10" i="2"/>
  <c r="I10" i="2"/>
  <c r="H10" i="2"/>
  <c r="G10" i="2"/>
  <c r="G11" i="2" l="1"/>
  <c r="G19" i="2"/>
  <c r="I11" i="2"/>
  <c r="J40" i="1"/>
  <c r="J41" i="1" s="1"/>
  <c r="I40" i="1"/>
  <c r="H40" i="1"/>
  <c r="H41" i="1" s="1"/>
  <c r="G40" i="1"/>
  <c r="G41" i="1" s="1"/>
  <c r="J31" i="1"/>
  <c r="J34" i="1"/>
  <c r="I34" i="1"/>
  <c r="H34" i="1"/>
  <c r="G34" i="1"/>
  <c r="G31" i="1"/>
  <c r="G14" i="1"/>
  <c r="J6" i="1"/>
  <c r="I6" i="1"/>
  <c r="H6" i="1"/>
  <c r="G6" i="1"/>
  <c r="I41" i="1" l="1"/>
  <c r="J11" i="1"/>
  <c r="H11" i="1"/>
  <c r="H31" i="1"/>
  <c r="I31" i="1"/>
  <c r="G11" i="1"/>
  <c r="I11" i="1"/>
  <c r="J21" i="1"/>
  <c r="I21" i="1"/>
  <c r="H21" i="1"/>
  <c r="J14" i="1"/>
  <c r="I14" i="1"/>
  <c r="H14" i="1"/>
</calcChain>
</file>

<file path=xl/sharedStrings.xml><?xml version="1.0" encoding="utf-8"?>
<sst xmlns="http://schemas.openxmlformats.org/spreadsheetml/2006/main" count="192" uniqueCount="73">
  <si>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</si>
  <si>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</si>
  <si>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</si>
  <si>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</si>
  <si>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</si>
  <si>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</si>
  <si>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</si>
  <si>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</si>
  <si>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</si>
  <si>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</si>
  <si>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</si>
  <si>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</si>
  <si>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</si>
  <si>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</si>
  <si>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</si>
  <si>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</si>
  <si>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</si>
  <si>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</si>
  <si>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</si>
  <si>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</si>
  <si>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</si>
  <si>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</si>
  <si>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</si>
  <si>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</si>
  <si>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</si>
  <si>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</si>
  <si>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</si>
  <si>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</si>
  <si>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</si>
  <si>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</si>
  <si>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</si>
  <si>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</si>
  <si>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</si>
  <si>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</si>
  <si>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</si>
  <si>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Каша манная молочная жидкая</t>
  </si>
  <si>
    <t>200</t>
  </si>
  <si>
    <t>Батон</t>
  </si>
  <si>
    <t>Масло сливочное (порциями)</t>
  </si>
  <si>
    <t>Сыр (порциями)</t>
  </si>
  <si>
    <t>Чай с лимоном</t>
  </si>
  <si>
    <t>Капуста тушеная с рисом, с мясом птицы</t>
  </si>
  <si>
    <t>Сок</t>
  </si>
  <si>
    <t>гарнир</t>
  </si>
  <si>
    <t>Сырники из творога запеч. с молоком сгущенным</t>
  </si>
  <si>
    <t>Соус сметанный с томатом</t>
  </si>
  <si>
    <t>140/20</t>
  </si>
  <si>
    <t>160/20</t>
  </si>
  <si>
    <t>Пюре картофельное</t>
  </si>
  <si>
    <t>180</t>
  </si>
  <si>
    <t>Котлеты рубленый из птицы</t>
  </si>
  <si>
    <t>Компот из смеси сухофруктов</t>
  </si>
  <si>
    <t>Суп картофельный с мак.изделиями и мясом</t>
  </si>
  <si>
    <t>220/30</t>
  </si>
  <si>
    <t>160/40</t>
  </si>
  <si>
    <t>Конфета "35"</t>
  </si>
  <si>
    <t xml:space="preserve">Какао с молоком </t>
  </si>
  <si>
    <t>23</t>
  </si>
  <si>
    <t>50</t>
  </si>
  <si>
    <t>110/40</t>
  </si>
  <si>
    <t>27</t>
  </si>
  <si>
    <t>26</t>
  </si>
  <si>
    <t>70</t>
  </si>
  <si>
    <t>32</t>
  </si>
  <si>
    <t>31</t>
  </si>
  <si>
    <t>90</t>
  </si>
  <si>
    <t>40</t>
  </si>
  <si>
    <t>22</t>
  </si>
  <si>
    <t>21</t>
  </si>
  <si>
    <t>35</t>
  </si>
  <si>
    <t>230/20</t>
  </si>
  <si>
    <t>30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</si>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</sst>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2" fontId="8" fillId="0" borderId="18" xfId="0" applyNumberFormat="1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wrapText="1"/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2" fontId="8" fillId="0" borderId="14" xfId="0" applyNumberFormat="1" applyFont="1" applyBorder="1" applyAlignment="1" applyProtection="1">
      <alignment horizontal="center"/>
      <protection locked="0"/>
    </xf>
    <xf numFmtId="0" fontId="0" fillId="0" borderId="1" xfId="0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6" fillId="0" borderId="1" xfId="0" applyNumberFormat="1" applyFont="1" applyBorder="1" applyProtection="1">
      <protection locked="0"/>
    </xf>
    <xf numFmtId="0" fontId="7" fillId="0" borderId="11" xfId="0" applyFont="1" applyFill="1" applyBorder="1" applyAlignment="1" applyProtection="1">
      <alignment wrapText="1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" fontId="0" fillId="0" borderId="25" xfId="0" applyNumberFormat="1" applyFill="1" applyBorder="1" applyProtection="1">
      <protection locked="0"/>
    </xf>
    <xf numFmtId="0" fontId="0" fillId="0" borderId="24" xfId="0" applyFill="1" applyBorder="1"/>
    <xf numFmtId="0" fontId="7" fillId="0" borderId="11" xfId="0" applyFont="1" applyFill="1" applyBorder="1" applyAlignment="1" applyProtection="1">
      <alignment horizontal="center"/>
      <protection locked="0"/>
    </xf>
    <xf numFmtId="0" fontId="0" fillId="0" borderId="26" xfId="0" applyFill="1" applyBorder="1"/>
    <xf numFmtId="0" fontId="0" fillId="0" borderId="11" xfId="0" applyFill="1" applyBorder="1"/>
    <xf numFmtId="2" fontId="9" fillId="0" borderId="18" xfId="0" applyNumberFormat="1" applyFont="1" applyFill="1" applyBorder="1" applyAlignment="1">
      <alignment horizont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O43"/>
  <sheetViews>
    <sheetView zoomScale="110" zoomScaleNormal="110" workbookViewId="0">
      <selection activeCell="N3" sqref="N3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7109375" style="21" customWidth="1"/>
    <col min="6" max="6" width="7.5703125" style="21" bestFit="1" customWidth="1"/>
    <col min="7" max="7" width="7.7109375" style="1" customWidth="1"/>
    <col min="8" max="8" width="6.140625" style="1" bestFit="1" customWidth="1"/>
    <col min="9" max="9" width="16.285156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132" t="s">
        <v>72</v>
      </c>
      <c r="C1" s="133"/>
      <c r="D1" s="134"/>
      <c r="E1" s="21" t="s">
        <v>29</v>
      </c>
      <c r="F1" s="20"/>
      <c r="H1" s="1" t="s">
        <v>1</v>
      </c>
      <c r="I1" s="19">
        <v>44915</v>
      </c>
    </row>
    <row r="2" spans="1:10" ht="15.75" thickBot="1" x14ac:dyDescent="0.3">
      <c r="B2" s="2" t="s">
        <v>28</v>
      </c>
    </row>
    <row r="3" spans="1:10" s="27" customFormat="1" ht="30.75" thickBot="1" x14ac:dyDescent="0.3">
      <c r="A3" s="23" t="s">
        <v>2</v>
      </c>
      <c r="B3" s="24" t="s">
        <v>3</v>
      </c>
      <c r="C3" s="24" t="s">
        <v>20</v>
      </c>
      <c r="D3" s="24" t="s">
        <v>4</v>
      </c>
      <c r="E3" s="62" t="s">
        <v>21</v>
      </c>
      <c r="F3" s="62" t="s">
        <v>5</v>
      </c>
      <c r="G3" s="25" t="s">
        <v>6</v>
      </c>
      <c r="H3" s="24" t="s">
        <v>7</v>
      </c>
      <c r="I3" s="24" t="s">
        <v>8</v>
      </c>
      <c r="J3" s="26" t="s">
        <v>9</v>
      </c>
    </row>
    <row r="4" spans="1:10" ht="30" x14ac:dyDescent="0.25">
      <c r="A4" s="6" t="s">
        <v>10</v>
      </c>
      <c r="B4" s="41" t="s">
        <v>11</v>
      </c>
      <c r="C4" s="71">
        <v>9</v>
      </c>
      <c r="D4" s="72" t="s">
        <v>35</v>
      </c>
      <c r="E4" s="124" t="s">
        <v>36</v>
      </c>
      <c r="F4" s="125">
        <v>15.99</v>
      </c>
      <c r="G4" s="8">
        <v>216.92</v>
      </c>
      <c r="H4" s="8">
        <v>6.35</v>
      </c>
      <c r="I4" s="8">
        <v>7.11</v>
      </c>
      <c r="J4" s="9">
        <v>32.29</v>
      </c>
    </row>
    <row r="5" spans="1:10" ht="15.75" x14ac:dyDescent="0.25">
      <c r="A5" s="10"/>
      <c r="B5" s="43" t="s">
        <v>12</v>
      </c>
      <c r="C5" s="73">
        <v>36</v>
      </c>
      <c r="D5" s="74" t="s">
        <v>56</v>
      </c>
      <c r="E5" s="64">
        <v>200</v>
      </c>
      <c r="F5" s="94">
        <v>14.34</v>
      </c>
      <c r="G5" s="12">
        <v>100</v>
      </c>
      <c r="H5" s="12">
        <v>3.9</v>
      </c>
      <c r="I5" s="12">
        <v>3</v>
      </c>
      <c r="J5" s="13">
        <v>15.28</v>
      </c>
    </row>
    <row r="6" spans="1:10" ht="15.75" x14ac:dyDescent="0.25">
      <c r="A6" s="10"/>
      <c r="B6" s="49" t="s">
        <v>18</v>
      </c>
      <c r="C6" s="73" t="s">
        <v>22</v>
      </c>
      <c r="D6" s="74" t="s">
        <v>37</v>
      </c>
      <c r="E6" s="64">
        <v>24</v>
      </c>
      <c r="F6" s="94">
        <v>2.06</v>
      </c>
      <c r="G6" s="12">
        <f>41.6*20/20</f>
        <v>41.6</v>
      </c>
      <c r="H6" s="12">
        <f>1.6*20/20</f>
        <v>1.6</v>
      </c>
      <c r="I6" s="12">
        <f>0.03*20/20</f>
        <v>0.03</v>
      </c>
      <c r="J6" s="13">
        <f>8.02*20/20</f>
        <v>8.02</v>
      </c>
    </row>
    <row r="7" spans="1:10" ht="15.75" x14ac:dyDescent="0.25">
      <c r="A7" s="10"/>
      <c r="B7" s="18" t="s">
        <v>17</v>
      </c>
      <c r="C7" s="79" t="s">
        <v>22</v>
      </c>
      <c r="D7" s="80" t="s">
        <v>23</v>
      </c>
      <c r="E7" s="67" t="s">
        <v>57</v>
      </c>
      <c r="F7" s="100">
        <f>46.14*0.023</f>
        <v>1.0612200000000001</v>
      </c>
      <c r="G7" s="15">
        <f>60</f>
        <v>60</v>
      </c>
      <c r="H7" s="15">
        <f>1.47</f>
        <v>1.47</v>
      </c>
      <c r="I7" s="15">
        <f>0.3</f>
        <v>0.3</v>
      </c>
      <c r="J7" s="16">
        <f>13.44</f>
        <v>13.44</v>
      </c>
    </row>
    <row r="8" spans="1:10" ht="30" x14ac:dyDescent="0.25">
      <c r="A8" s="10"/>
      <c r="B8" s="103" t="s">
        <v>24</v>
      </c>
      <c r="C8" s="73">
        <v>3</v>
      </c>
      <c r="D8" s="74" t="s">
        <v>38</v>
      </c>
      <c r="E8" s="64">
        <v>10</v>
      </c>
      <c r="F8" s="94">
        <f>9.82*10/10</f>
        <v>9.82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75" x14ac:dyDescent="0.25">
      <c r="A9" s="10"/>
      <c r="B9" s="93"/>
      <c r="C9" s="102">
        <v>6</v>
      </c>
      <c r="D9" s="74" t="s">
        <v>39</v>
      </c>
      <c r="E9" s="64">
        <v>10</v>
      </c>
      <c r="F9" s="94">
        <f>10.11*10/12</f>
        <v>8.4249999999999989</v>
      </c>
      <c r="G9" s="17">
        <v>36</v>
      </c>
      <c r="H9" s="17">
        <v>1.36</v>
      </c>
      <c r="I9" s="17">
        <v>2.76</v>
      </c>
      <c r="J9" s="56">
        <v>0.31</v>
      </c>
    </row>
    <row r="10" spans="1:10" ht="15.75" x14ac:dyDescent="0.25">
      <c r="A10" s="10"/>
      <c r="B10" s="93"/>
      <c r="C10" s="102" t="s">
        <v>22</v>
      </c>
      <c r="D10" s="74" t="s">
        <v>55</v>
      </c>
      <c r="E10" s="64">
        <v>21</v>
      </c>
      <c r="F10" s="94">
        <f>422.4*0.021</f>
        <v>8.8704000000000001</v>
      </c>
      <c r="G10" s="12">
        <f>127.12</f>
        <v>127.12</v>
      </c>
      <c r="H10" s="12">
        <f>2.14</f>
        <v>2.14</v>
      </c>
      <c r="I10" s="12">
        <f>2.8</f>
        <v>2.8</v>
      </c>
      <c r="J10" s="13">
        <f>23.34</f>
        <v>23.34</v>
      </c>
    </row>
    <row r="11" spans="1:10" ht="16.5" thickBot="1" x14ac:dyDescent="0.3">
      <c r="A11" s="86"/>
      <c r="B11" s="87"/>
      <c r="C11" s="88"/>
      <c r="D11" s="89"/>
      <c r="E11" s="90"/>
      <c r="F11" s="98">
        <f>SUM(F4:F10)</f>
        <v>60.56662</v>
      </c>
      <c r="G11" s="91">
        <f>SUM(G4:G10)</f>
        <v>646.34</v>
      </c>
      <c r="H11" s="91">
        <f>SUM(H4:H10)</f>
        <v>16.899999999999999</v>
      </c>
      <c r="I11" s="91">
        <f>SUM(I4:I10)</f>
        <v>23.150000000000002</v>
      </c>
      <c r="J11" s="126">
        <f>SUM(J4:J10)</f>
        <v>92.800000000000011</v>
      </c>
    </row>
    <row r="12" spans="1:10" ht="15.75" x14ac:dyDescent="0.25">
      <c r="A12" s="6" t="s">
        <v>25</v>
      </c>
      <c r="B12" s="7"/>
      <c r="C12" s="75">
        <v>30</v>
      </c>
      <c r="D12" s="76" t="s">
        <v>40</v>
      </c>
      <c r="E12" s="65">
        <v>200</v>
      </c>
      <c r="F12" s="97">
        <v>3</v>
      </c>
      <c r="G12" s="8">
        <v>43</v>
      </c>
      <c r="H12" s="8">
        <v>0.06</v>
      </c>
      <c r="I12" s="8">
        <v>0.01</v>
      </c>
      <c r="J12" s="9">
        <v>10.220000000000001</v>
      </c>
    </row>
    <row r="13" spans="1:10" ht="45" x14ac:dyDescent="0.25">
      <c r="A13" s="10"/>
      <c r="B13" s="14"/>
      <c r="C13" s="77">
        <v>31</v>
      </c>
      <c r="D13" s="78" t="s">
        <v>44</v>
      </c>
      <c r="E13" s="66" t="s">
        <v>46</v>
      </c>
      <c r="F13" s="94">
        <v>42.43</v>
      </c>
      <c r="G13" s="12">
        <v>400.13</v>
      </c>
      <c r="H13" s="12">
        <v>22.24</v>
      </c>
      <c r="I13" s="12">
        <v>17.73</v>
      </c>
      <c r="J13" s="13">
        <v>137.9</v>
      </c>
    </row>
    <row r="14" spans="1:10" ht="16.5" thickBot="1" x14ac:dyDescent="0.3">
      <c r="A14" s="82"/>
      <c r="B14" s="58"/>
      <c r="C14" s="83"/>
      <c r="D14" s="84"/>
      <c r="E14" s="85"/>
      <c r="F14" s="99">
        <f>SUM(F12:F13)</f>
        <v>45.43</v>
      </c>
      <c r="G14" s="95">
        <f>SUM(G12:G13)</f>
        <v>443.13</v>
      </c>
      <c r="H14" s="95">
        <f t="shared" ref="H14:J14" si="0">SUM(H12:H13)</f>
        <v>22.299999999999997</v>
      </c>
      <c r="I14" s="95">
        <f t="shared" si="0"/>
        <v>17.740000000000002</v>
      </c>
      <c r="J14" s="96">
        <f t="shared" si="0"/>
        <v>148.12</v>
      </c>
    </row>
    <row r="15" spans="1:10" ht="15.75" x14ac:dyDescent="0.25">
      <c r="A15" s="6" t="s">
        <v>13</v>
      </c>
      <c r="B15" s="7" t="s">
        <v>14</v>
      </c>
      <c r="C15" s="75">
        <v>4</v>
      </c>
      <c r="D15" s="76" t="s">
        <v>34</v>
      </c>
      <c r="E15" s="63" t="s">
        <v>58</v>
      </c>
      <c r="F15" s="97">
        <f>28.02*50/60</f>
        <v>23.35</v>
      </c>
      <c r="G15" s="8">
        <v>8.4</v>
      </c>
      <c r="H15" s="8">
        <v>0.48</v>
      </c>
      <c r="I15" s="8">
        <v>0.06</v>
      </c>
      <c r="J15" s="9">
        <v>1.5</v>
      </c>
    </row>
    <row r="16" spans="1:10" ht="30" x14ac:dyDescent="0.25">
      <c r="A16" s="10"/>
      <c r="B16" s="11" t="s">
        <v>15</v>
      </c>
      <c r="C16" s="77">
        <v>49</v>
      </c>
      <c r="D16" s="78" t="s">
        <v>52</v>
      </c>
      <c r="E16" s="66" t="s">
        <v>53</v>
      </c>
      <c r="F16" s="94">
        <f>10.5*220/220+15.85*30/30</f>
        <v>26.35</v>
      </c>
      <c r="G16" s="12">
        <v>132.5</v>
      </c>
      <c r="H16" s="12">
        <v>2.65</v>
      </c>
      <c r="I16" s="12">
        <v>2.78</v>
      </c>
      <c r="J16" s="13">
        <v>24.23</v>
      </c>
    </row>
    <row r="17" spans="1:15" ht="30" x14ac:dyDescent="0.25">
      <c r="A17" s="10"/>
      <c r="B17" s="11" t="s">
        <v>16</v>
      </c>
      <c r="C17" s="77">
        <v>48</v>
      </c>
      <c r="D17" s="78" t="s">
        <v>41</v>
      </c>
      <c r="E17" s="66" t="s">
        <v>59</v>
      </c>
      <c r="F17" s="94">
        <f>14*40/37+11.54*110/113</f>
        <v>26.368763453719204</v>
      </c>
      <c r="G17" s="12">
        <v>167.25</v>
      </c>
      <c r="H17" s="12">
        <v>9.2100000000000009</v>
      </c>
      <c r="I17" s="12">
        <v>9.8000000000000007</v>
      </c>
      <c r="J17" s="13">
        <v>8.6300000000000008</v>
      </c>
    </row>
    <row r="18" spans="1:15" ht="15.75" x14ac:dyDescent="0.25">
      <c r="A18" s="10"/>
      <c r="B18" s="11" t="s">
        <v>26</v>
      </c>
      <c r="C18" s="77">
        <v>25</v>
      </c>
      <c r="D18" s="78" t="s">
        <v>42</v>
      </c>
      <c r="E18" s="66">
        <v>200</v>
      </c>
      <c r="F18" s="94">
        <v>11.82</v>
      </c>
      <c r="G18" s="12">
        <v>136</v>
      </c>
      <c r="H18" s="12">
        <v>0.6</v>
      </c>
      <c r="I18" s="12">
        <v>0</v>
      </c>
      <c r="J18" s="13">
        <v>33</v>
      </c>
    </row>
    <row r="19" spans="1:15" ht="15.75" x14ac:dyDescent="0.25">
      <c r="A19" s="10"/>
      <c r="B19" s="11" t="s">
        <v>19</v>
      </c>
      <c r="C19" s="77" t="s">
        <v>22</v>
      </c>
      <c r="D19" s="78" t="s">
        <v>27</v>
      </c>
      <c r="E19" s="66" t="s">
        <v>60</v>
      </c>
      <c r="F19" s="94">
        <v>1.78</v>
      </c>
      <c r="G19" s="12">
        <f>62.4</f>
        <v>62.4</v>
      </c>
      <c r="H19" s="12">
        <f>2.4</f>
        <v>2.4</v>
      </c>
      <c r="I19" s="12">
        <f>0.45</f>
        <v>0.45</v>
      </c>
      <c r="J19" s="13">
        <f>11.37</f>
        <v>11.37</v>
      </c>
    </row>
    <row r="20" spans="1:15" ht="15.75" x14ac:dyDescent="0.25">
      <c r="A20" s="10"/>
      <c r="B20" s="18" t="s">
        <v>17</v>
      </c>
      <c r="C20" s="79" t="s">
        <v>22</v>
      </c>
      <c r="D20" s="80" t="s">
        <v>23</v>
      </c>
      <c r="E20" s="67" t="s">
        <v>61</v>
      </c>
      <c r="F20" s="100">
        <f>46.14*0.026</f>
        <v>1.19964</v>
      </c>
      <c r="G20" s="15">
        <f>60</f>
        <v>60</v>
      </c>
      <c r="H20" s="15">
        <f>1.47</f>
        <v>1.47</v>
      </c>
      <c r="I20" s="15">
        <f>0.3</f>
        <v>0.3</v>
      </c>
      <c r="J20" s="16">
        <f>13.44</f>
        <v>13.44</v>
      </c>
    </row>
    <row r="21" spans="1:15" ht="16.5" thickBot="1" x14ac:dyDescent="0.3">
      <c r="A21" s="57"/>
      <c r="B21" s="58"/>
      <c r="C21" s="59"/>
      <c r="D21" s="59"/>
      <c r="E21" s="70"/>
      <c r="F21" s="101">
        <f>SUM(F15:F20)</f>
        <v>90.86840345371921</v>
      </c>
      <c r="G21" s="60">
        <f>SUM(G15:G20)</f>
        <v>566.54999999999995</v>
      </c>
      <c r="H21" s="60">
        <f>SUM(H15:H20)</f>
        <v>16.809999999999999</v>
      </c>
      <c r="I21" s="60">
        <f>SUM(I15:I20)</f>
        <v>13.39</v>
      </c>
      <c r="J21" s="61">
        <f>SUM(J15:J20)</f>
        <v>92.17</v>
      </c>
    </row>
    <row r="22" spans="1:15" ht="16.5" thickBot="1" x14ac:dyDescent="0.3">
      <c r="B22" s="2" t="s">
        <v>30</v>
      </c>
      <c r="E22" s="68"/>
      <c r="F22" s="68"/>
    </row>
    <row r="23" spans="1:15" ht="30.75" thickBot="1" x14ac:dyDescent="0.3">
      <c r="A23" s="3" t="s">
        <v>2</v>
      </c>
      <c r="B23" s="4" t="s">
        <v>3</v>
      </c>
      <c r="C23" s="4" t="s">
        <v>20</v>
      </c>
      <c r="D23" s="4" t="s">
        <v>4</v>
      </c>
      <c r="E23" s="69" t="s">
        <v>21</v>
      </c>
      <c r="F23" s="69" t="s">
        <v>5</v>
      </c>
      <c r="G23" s="22" t="s">
        <v>6</v>
      </c>
      <c r="H23" s="4" t="s">
        <v>7</v>
      </c>
      <c r="I23" s="4" t="s">
        <v>8</v>
      </c>
      <c r="J23" s="5" t="s">
        <v>9</v>
      </c>
      <c r="O23" s="127"/>
    </row>
    <row r="24" spans="1:15" ht="30" x14ac:dyDescent="0.25">
      <c r="A24" s="6" t="s">
        <v>10</v>
      </c>
      <c r="B24" s="41" t="s">
        <v>11</v>
      </c>
      <c r="C24" s="71">
        <v>9</v>
      </c>
      <c r="D24" s="72" t="s">
        <v>35</v>
      </c>
      <c r="E24" s="124" t="s">
        <v>36</v>
      </c>
      <c r="F24" s="125">
        <v>15.99</v>
      </c>
      <c r="G24" s="8">
        <v>216.92</v>
      </c>
      <c r="H24" s="8">
        <v>6.35</v>
      </c>
      <c r="I24" s="8">
        <v>7.11</v>
      </c>
      <c r="J24" s="9">
        <v>32.29</v>
      </c>
    </row>
    <row r="25" spans="1:15" ht="15.75" x14ac:dyDescent="0.25">
      <c r="A25" s="10"/>
      <c r="B25" s="43" t="s">
        <v>12</v>
      </c>
      <c r="C25" s="73">
        <v>36</v>
      </c>
      <c r="D25" s="74" t="s">
        <v>56</v>
      </c>
      <c r="E25" s="64">
        <v>200</v>
      </c>
      <c r="F25" s="94">
        <v>14.34</v>
      </c>
      <c r="G25" s="12">
        <v>100</v>
      </c>
      <c r="H25" s="12">
        <v>3.9</v>
      </c>
      <c r="I25" s="12">
        <v>3</v>
      </c>
      <c r="J25" s="13">
        <v>15.28</v>
      </c>
    </row>
    <row r="26" spans="1:15" ht="15.75" x14ac:dyDescent="0.25">
      <c r="A26" s="10"/>
      <c r="B26" s="49" t="s">
        <v>18</v>
      </c>
      <c r="C26" s="73" t="s">
        <v>22</v>
      </c>
      <c r="D26" s="74" t="s">
        <v>37</v>
      </c>
      <c r="E26" s="64">
        <v>28</v>
      </c>
      <c r="F26" s="94">
        <f>88*0.028</f>
        <v>2.464</v>
      </c>
      <c r="G26" s="12">
        <v>62.4</v>
      </c>
      <c r="H26" s="12">
        <v>2.4</v>
      </c>
      <c r="I26" s="12">
        <v>0.05</v>
      </c>
      <c r="J26" s="13">
        <v>12.03</v>
      </c>
    </row>
    <row r="27" spans="1:15" ht="15.75" x14ac:dyDescent="0.25">
      <c r="A27" s="10"/>
      <c r="B27" s="18" t="s">
        <v>17</v>
      </c>
      <c r="C27" s="79" t="s">
        <v>22</v>
      </c>
      <c r="D27" s="80" t="s">
        <v>23</v>
      </c>
      <c r="E27" s="67" t="s">
        <v>60</v>
      </c>
      <c r="F27" s="100">
        <v>1.22</v>
      </c>
      <c r="G27" s="15">
        <f>60</f>
        <v>60</v>
      </c>
      <c r="H27" s="15">
        <f>1.47</f>
        <v>1.47</v>
      </c>
      <c r="I27" s="15">
        <f>0.3</f>
        <v>0.3</v>
      </c>
      <c r="J27" s="16">
        <f>13.44</f>
        <v>13.44</v>
      </c>
    </row>
    <row r="28" spans="1:15" ht="30" x14ac:dyDescent="0.25">
      <c r="A28" s="10"/>
      <c r="B28" s="103" t="s">
        <v>24</v>
      </c>
      <c r="C28" s="73">
        <v>3</v>
      </c>
      <c r="D28" s="74" t="s">
        <v>38</v>
      </c>
      <c r="E28" s="64">
        <v>12</v>
      </c>
      <c r="F28" s="94">
        <f>9.82*12/10</f>
        <v>11.784000000000001</v>
      </c>
      <c r="G28" s="12">
        <v>64.7</v>
      </c>
      <c r="H28" s="12">
        <v>0.08</v>
      </c>
      <c r="I28" s="12">
        <v>7.15</v>
      </c>
      <c r="J28" s="13">
        <v>0.12</v>
      </c>
    </row>
    <row r="29" spans="1:15" ht="15.75" x14ac:dyDescent="0.25">
      <c r="A29" s="10"/>
      <c r="B29" s="93"/>
      <c r="C29" s="102">
        <v>6</v>
      </c>
      <c r="D29" s="74" t="s">
        <v>39</v>
      </c>
      <c r="E29" s="64">
        <v>19</v>
      </c>
      <c r="F29" s="94">
        <f>12.44*19/15</f>
        <v>15.757333333333332</v>
      </c>
      <c r="G29" s="17">
        <v>45</v>
      </c>
      <c r="H29" s="17">
        <v>3.07</v>
      </c>
      <c r="I29" s="17">
        <v>3.45</v>
      </c>
      <c r="J29" s="56">
        <v>0.38</v>
      </c>
    </row>
    <row r="30" spans="1:15" ht="15.75" x14ac:dyDescent="0.25">
      <c r="A30" s="10"/>
      <c r="B30" s="93"/>
      <c r="C30" s="102" t="s">
        <v>22</v>
      </c>
      <c r="D30" s="74" t="s">
        <v>55</v>
      </c>
      <c r="E30" s="64">
        <v>21</v>
      </c>
      <c r="F30" s="94">
        <f>422.4*0.021</f>
        <v>8.8704000000000001</v>
      </c>
      <c r="G30" s="12">
        <v>206.59</v>
      </c>
      <c r="H30" s="12">
        <v>3.48</v>
      </c>
      <c r="I30" s="12">
        <v>4.55</v>
      </c>
      <c r="J30" s="13">
        <v>37.93</v>
      </c>
    </row>
    <row r="31" spans="1:15" ht="16.5" thickBot="1" x14ac:dyDescent="0.3">
      <c r="A31" s="86"/>
      <c r="B31" s="87"/>
      <c r="C31" s="88"/>
      <c r="D31" s="89"/>
      <c r="E31" s="90"/>
      <c r="F31" s="98">
        <f>SUM(F24:F30)</f>
        <v>70.425733333333326</v>
      </c>
      <c r="G31" s="91">
        <f>SUM(G24:G30)</f>
        <v>755.61</v>
      </c>
      <c r="H31" s="91">
        <f>SUM(H24:H30)</f>
        <v>20.75</v>
      </c>
      <c r="I31" s="91">
        <f>SUM(I24:I30)</f>
        <v>25.61</v>
      </c>
      <c r="J31" s="126">
        <f>SUM(J24:J30)</f>
        <v>111.47</v>
      </c>
    </row>
    <row r="32" spans="1:15" ht="15.75" x14ac:dyDescent="0.25">
      <c r="A32" s="6" t="s">
        <v>25</v>
      </c>
      <c r="B32" s="7"/>
      <c r="C32" s="75">
        <v>30</v>
      </c>
      <c r="D32" s="76" t="s">
        <v>40</v>
      </c>
      <c r="E32" s="65">
        <v>200</v>
      </c>
      <c r="F32" s="97">
        <v>3</v>
      </c>
      <c r="G32" s="8">
        <v>43</v>
      </c>
      <c r="H32" s="8">
        <v>0.06</v>
      </c>
      <c r="I32" s="8">
        <v>0.01</v>
      </c>
      <c r="J32" s="9">
        <v>10.220000000000001</v>
      </c>
    </row>
    <row r="33" spans="1:10" ht="30" customHeight="1" x14ac:dyDescent="0.25">
      <c r="A33" s="10"/>
      <c r="B33" s="14"/>
      <c r="C33" s="77">
        <v>31</v>
      </c>
      <c r="D33" s="78" t="s">
        <v>44</v>
      </c>
      <c r="E33" s="66" t="s">
        <v>47</v>
      </c>
      <c r="F33" s="94">
        <v>49.81</v>
      </c>
      <c r="G33" s="12">
        <v>400.13</v>
      </c>
      <c r="H33" s="12">
        <v>22.24</v>
      </c>
      <c r="I33" s="12">
        <v>17.73</v>
      </c>
      <c r="J33" s="13">
        <v>137.9</v>
      </c>
    </row>
    <row r="34" spans="1:10" ht="16.5" thickBot="1" x14ac:dyDescent="0.3">
      <c r="A34" s="82"/>
      <c r="B34" s="58"/>
      <c r="C34" s="83"/>
      <c r="D34" s="84"/>
      <c r="E34" s="85"/>
      <c r="F34" s="99">
        <f>SUM(F32:F33)</f>
        <v>52.81</v>
      </c>
      <c r="G34" s="95">
        <f>SUM(G32:G33)</f>
        <v>443.13</v>
      </c>
      <c r="H34" s="95">
        <f t="shared" ref="H34:J34" si="1">SUM(H32:H33)</f>
        <v>22.299999999999997</v>
      </c>
      <c r="I34" s="95">
        <f t="shared" si="1"/>
        <v>17.740000000000002</v>
      </c>
      <c r="J34" s="96">
        <f t="shared" si="1"/>
        <v>148.12</v>
      </c>
    </row>
    <row r="35" spans="1:10" ht="15.75" x14ac:dyDescent="0.25">
      <c r="A35" s="6" t="s">
        <v>13</v>
      </c>
      <c r="B35" s="7" t="s">
        <v>14</v>
      </c>
      <c r="C35" s="75">
        <v>4</v>
      </c>
      <c r="D35" s="76" t="s">
        <v>34</v>
      </c>
      <c r="E35" s="63" t="s">
        <v>62</v>
      </c>
      <c r="F35" s="97">
        <f>46.71*70/100</f>
        <v>32.697000000000003</v>
      </c>
      <c r="G35" s="8">
        <v>14</v>
      </c>
      <c r="H35" s="8">
        <v>0.8</v>
      </c>
      <c r="I35" s="8">
        <v>0.1</v>
      </c>
      <c r="J35" s="9">
        <v>2.5</v>
      </c>
    </row>
    <row r="36" spans="1:10" ht="30" x14ac:dyDescent="0.25">
      <c r="A36" s="10"/>
      <c r="B36" s="11" t="s">
        <v>15</v>
      </c>
      <c r="C36" s="77">
        <v>49</v>
      </c>
      <c r="D36" s="78" t="s">
        <v>52</v>
      </c>
      <c r="E36" s="66" t="s">
        <v>53</v>
      </c>
      <c r="F36" s="94">
        <f>10.5*220/220+15.85*30/30</f>
        <v>26.35</v>
      </c>
      <c r="G36" s="12">
        <v>132.5</v>
      </c>
      <c r="H36" s="12">
        <v>2.65</v>
      </c>
      <c r="I36" s="12">
        <v>2.78</v>
      </c>
      <c r="J36" s="13">
        <v>24.23</v>
      </c>
    </row>
    <row r="37" spans="1:10" ht="30" x14ac:dyDescent="0.25">
      <c r="A37" s="10"/>
      <c r="B37" s="11" t="s">
        <v>16</v>
      </c>
      <c r="C37" s="77">
        <v>48</v>
      </c>
      <c r="D37" s="78" t="s">
        <v>41</v>
      </c>
      <c r="E37" s="66" t="s">
        <v>54</v>
      </c>
      <c r="F37" s="94">
        <f>18.73*40/50+15.19*160/150</f>
        <v>31.186666666666667</v>
      </c>
      <c r="G37" s="12">
        <v>223</v>
      </c>
      <c r="H37" s="12">
        <v>12.28</v>
      </c>
      <c r="I37" s="12">
        <v>13.07</v>
      </c>
      <c r="J37" s="13">
        <v>11.51</v>
      </c>
    </row>
    <row r="38" spans="1:10" ht="15.75" x14ac:dyDescent="0.25">
      <c r="A38" s="10"/>
      <c r="B38" s="11" t="s">
        <v>26</v>
      </c>
      <c r="C38" s="77">
        <v>25</v>
      </c>
      <c r="D38" s="78" t="s">
        <v>42</v>
      </c>
      <c r="E38" s="66">
        <v>200</v>
      </c>
      <c r="F38" s="94">
        <v>11.82</v>
      </c>
      <c r="G38" s="12">
        <v>136</v>
      </c>
      <c r="H38" s="12">
        <v>0.6</v>
      </c>
      <c r="I38" s="12">
        <v>0</v>
      </c>
      <c r="J38" s="13">
        <v>33</v>
      </c>
    </row>
    <row r="39" spans="1:10" ht="15.75" x14ac:dyDescent="0.25">
      <c r="A39" s="10"/>
      <c r="B39" s="11" t="s">
        <v>19</v>
      </c>
      <c r="C39" s="77" t="s">
        <v>22</v>
      </c>
      <c r="D39" s="78" t="s">
        <v>27</v>
      </c>
      <c r="E39" s="66" t="s">
        <v>63</v>
      </c>
      <c r="F39" s="94">
        <f>68*0.032</f>
        <v>2.1760000000000002</v>
      </c>
      <c r="G39" s="12">
        <v>83.2</v>
      </c>
      <c r="H39" s="12">
        <v>3.2</v>
      </c>
      <c r="I39" s="12">
        <v>0.06</v>
      </c>
      <c r="J39" s="13">
        <v>16.04</v>
      </c>
    </row>
    <row r="40" spans="1:10" ht="15.75" x14ac:dyDescent="0.25">
      <c r="A40" s="10"/>
      <c r="B40" s="18" t="s">
        <v>17</v>
      </c>
      <c r="C40" s="79" t="s">
        <v>22</v>
      </c>
      <c r="D40" s="80" t="s">
        <v>23</v>
      </c>
      <c r="E40" s="67" t="s">
        <v>64</v>
      </c>
      <c r="F40" s="100">
        <v>1.4</v>
      </c>
      <c r="G40" s="15">
        <f>60*40/30</f>
        <v>80</v>
      </c>
      <c r="H40" s="15">
        <f>1.47*40/30</f>
        <v>1.96</v>
      </c>
      <c r="I40" s="15">
        <f>0.3*40/30</f>
        <v>0.4</v>
      </c>
      <c r="J40" s="16">
        <f>13.44*40/30</f>
        <v>17.920000000000002</v>
      </c>
    </row>
    <row r="41" spans="1:10" ht="16.5" thickBot="1" x14ac:dyDescent="0.3">
      <c r="A41" s="57"/>
      <c r="B41" s="58"/>
      <c r="C41" s="59"/>
      <c r="D41" s="59"/>
      <c r="E41" s="70"/>
      <c r="F41" s="101">
        <f>SUM(F35:F40)</f>
        <v>105.62966666666667</v>
      </c>
      <c r="G41" s="60">
        <f>SUM(G35:G40)</f>
        <v>668.7</v>
      </c>
      <c r="H41" s="60">
        <f>SUM(H35:H40)</f>
        <v>21.490000000000002</v>
      </c>
      <c r="I41" s="60">
        <f>SUM(I35:I40)</f>
        <v>16.409999999999997</v>
      </c>
      <c r="J41" s="61">
        <f>SUM(J35:J40)</f>
        <v>105.2</v>
      </c>
    </row>
    <row r="42" spans="1:10" s="29" customFormat="1" x14ac:dyDescent="0.25">
      <c r="A42" s="28" t="s">
        <v>31</v>
      </c>
      <c r="B42" s="1"/>
      <c r="C42" s="1"/>
      <c r="D42" s="1"/>
      <c r="E42" s="30"/>
      <c r="F42" s="30"/>
    </row>
    <row r="43" spans="1:10" x14ac:dyDescent="0.25">
      <c r="A43" s="28" t="s">
        <v>32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4" orientation="portrait" r:id="rId1"/>
  <ignoredErrors>
    <ignoredError sqref="J11 J31 G40 F34 F8:F9 F11 F31" unlockedFormula="1"/>
    <ignoredError sqref="E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abSelected="1" topLeftCell="A19" workbookViewId="0">
      <selection activeCell="I1" sqref="I1:I1048576"/>
    </sheetView>
  </sheetViews>
  <sheetFormatPr defaultColWidth="8.85546875" defaultRowHeight="15" x14ac:dyDescent="0.25"/>
  <cols>
    <col min="1" max="1" width="11.7109375" style="29" bestFit="1" customWidth="1"/>
    <col min="2" max="2" width="10" style="29" customWidth="1"/>
    <col min="3" max="3" width="5.5703125" style="29" customWidth="1"/>
    <col min="4" max="4" width="24.7109375" style="29" customWidth="1"/>
    <col min="5" max="5" width="10.28515625" style="30" customWidth="1"/>
    <col min="6" max="6" width="7.140625" style="30" bestFit="1" customWidth="1"/>
    <col min="7" max="7" width="7.7109375" style="29" customWidth="1"/>
    <col min="8" max="8" width="6.140625" style="29" bestFit="1" customWidth="1"/>
    <col min="9" max="9" width="10.140625" style="29" bestFit="1" customWidth="1"/>
    <col min="10" max="10" width="8.5703125" style="29" customWidth="1"/>
    <col min="11" max="16384" width="8.85546875" style="29"/>
  </cols>
  <sheetData>
    <row r="1" spans="1:10" ht="28.9" customHeight="1" x14ac:dyDescent="0.25">
      <c r="A1" s="29" t="s">
        <v>0</v>
      </c>
      <c r="B1" s="135" t="s">
        <v>72</v>
      </c>
      <c r="C1" s="136"/>
      <c r="D1" s="137"/>
      <c r="E1" s="30" t="s">
        <v>29</v>
      </c>
      <c r="F1" s="31"/>
      <c r="H1" s="29" t="s">
        <v>1</v>
      </c>
      <c r="I1" s="32">
        <v>44915</v>
      </c>
    </row>
    <row r="2" spans="1:10" ht="15.75" thickBot="1" x14ac:dyDescent="0.3">
      <c r="B2" s="33" t="s">
        <v>33</v>
      </c>
    </row>
    <row r="3" spans="1:10" s="39" customFormat="1" ht="30.75" thickBot="1" x14ac:dyDescent="0.3">
      <c r="A3" s="34" t="s">
        <v>2</v>
      </c>
      <c r="B3" s="35" t="s">
        <v>3</v>
      </c>
      <c r="C3" s="35" t="s">
        <v>20</v>
      </c>
      <c r="D3" s="35" t="s">
        <v>4</v>
      </c>
      <c r="E3" s="36" t="s">
        <v>21</v>
      </c>
      <c r="F3" s="36" t="s">
        <v>5</v>
      </c>
      <c r="G3" s="37" t="s">
        <v>6</v>
      </c>
      <c r="H3" s="35" t="s">
        <v>7</v>
      </c>
      <c r="I3" s="35" t="s">
        <v>8</v>
      </c>
      <c r="J3" s="38" t="s">
        <v>9</v>
      </c>
    </row>
    <row r="4" spans="1:10" ht="30" x14ac:dyDescent="0.25">
      <c r="A4" s="6" t="s">
        <v>10</v>
      </c>
      <c r="B4" s="41" t="s">
        <v>11</v>
      </c>
      <c r="C4" s="128">
        <v>9</v>
      </c>
      <c r="D4" s="123" t="s">
        <v>35</v>
      </c>
      <c r="E4" s="124" t="s">
        <v>36</v>
      </c>
      <c r="F4" s="125">
        <v>21.27</v>
      </c>
      <c r="G4" s="8">
        <v>216.92</v>
      </c>
      <c r="H4" s="8">
        <v>6.35</v>
      </c>
      <c r="I4" s="8">
        <v>7.11</v>
      </c>
      <c r="J4" s="9">
        <v>32.29</v>
      </c>
    </row>
    <row r="5" spans="1:10" ht="15.75" x14ac:dyDescent="0.25">
      <c r="A5" s="10"/>
      <c r="B5" s="43" t="s">
        <v>12</v>
      </c>
      <c r="C5" s="73">
        <v>36</v>
      </c>
      <c r="D5" s="74" t="s">
        <v>56</v>
      </c>
      <c r="E5" s="64">
        <v>200</v>
      </c>
      <c r="F5" s="94">
        <v>19.07</v>
      </c>
      <c r="G5" s="12">
        <v>100</v>
      </c>
      <c r="H5" s="12">
        <v>3.9</v>
      </c>
      <c r="I5" s="12">
        <v>3</v>
      </c>
      <c r="J5" s="13">
        <v>15.28</v>
      </c>
    </row>
    <row r="6" spans="1:10" ht="15.75" x14ac:dyDescent="0.25">
      <c r="A6" s="10"/>
      <c r="B6" s="49" t="s">
        <v>18</v>
      </c>
      <c r="C6" s="73" t="s">
        <v>22</v>
      </c>
      <c r="D6" s="74" t="s">
        <v>23</v>
      </c>
      <c r="E6" s="64">
        <v>26</v>
      </c>
      <c r="F6" s="94">
        <f>55.37*0.026</f>
        <v>1.4396199999999999</v>
      </c>
      <c r="G6" s="12">
        <f>40*23/20</f>
        <v>46</v>
      </c>
      <c r="H6" s="12">
        <f>0.98*23/20</f>
        <v>1.127</v>
      </c>
      <c r="I6" s="12">
        <f>0.2*23/20</f>
        <v>0.23000000000000004</v>
      </c>
      <c r="J6" s="13">
        <f>8.95*23/20</f>
        <v>10.2925</v>
      </c>
    </row>
    <row r="7" spans="1:10" ht="15.75" x14ac:dyDescent="0.25">
      <c r="A7" s="10"/>
      <c r="B7" s="81"/>
      <c r="C7" s="73" t="s">
        <v>22</v>
      </c>
      <c r="D7" s="74" t="s">
        <v>37</v>
      </c>
      <c r="E7" s="64">
        <v>27</v>
      </c>
      <c r="F7" s="94">
        <v>2.8</v>
      </c>
      <c r="G7" s="12">
        <f>41.6*24/20</f>
        <v>49.92</v>
      </c>
      <c r="H7" s="12">
        <f>1.6*24/20</f>
        <v>1.9200000000000004</v>
      </c>
      <c r="I7" s="12">
        <f>0.03*24/20</f>
        <v>3.5999999999999997E-2</v>
      </c>
      <c r="J7" s="13">
        <f>8.02*24/20</f>
        <v>9.6239999999999988</v>
      </c>
    </row>
    <row r="8" spans="1:10" ht="30" x14ac:dyDescent="0.25">
      <c r="A8" s="10"/>
      <c r="B8" s="103" t="s">
        <v>24</v>
      </c>
      <c r="C8" s="73">
        <v>3</v>
      </c>
      <c r="D8" s="74" t="s">
        <v>38</v>
      </c>
      <c r="E8" s="64">
        <v>10</v>
      </c>
      <c r="F8" s="94">
        <f>13.06*10/10</f>
        <v>13.059999999999999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75" x14ac:dyDescent="0.25">
      <c r="A9" s="10"/>
      <c r="B9" s="93"/>
      <c r="C9" s="102">
        <v>6</v>
      </c>
      <c r="D9" s="74" t="s">
        <v>39</v>
      </c>
      <c r="E9" s="64">
        <v>13</v>
      </c>
      <c r="F9" s="94">
        <f>13.44*13/12</f>
        <v>14.56</v>
      </c>
      <c r="G9" s="17">
        <v>36</v>
      </c>
      <c r="H9" s="17">
        <v>1.36</v>
      </c>
      <c r="I9" s="17">
        <v>2.76</v>
      </c>
      <c r="J9" s="56">
        <v>0.31</v>
      </c>
    </row>
    <row r="10" spans="1:10" ht="15.75" x14ac:dyDescent="0.25">
      <c r="A10" s="129"/>
      <c r="B10" s="93"/>
      <c r="C10" s="102" t="s">
        <v>22</v>
      </c>
      <c r="D10" s="74" t="s">
        <v>55</v>
      </c>
      <c r="E10" s="64">
        <v>21</v>
      </c>
      <c r="F10" s="94">
        <f>422.4*0.021*1.33</f>
        <v>11.797632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5" thickBot="1" x14ac:dyDescent="0.3">
      <c r="A11" s="10"/>
      <c r="B11" s="87"/>
      <c r="C11" s="88"/>
      <c r="D11" s="89"/>
      <c r="E11" s="90"/>
      <c r="F11" s="98">
        <f>SUM(F4:F10)</f>
        <v>83.997252000000003</v>
      </c>
      <c r="G11" s="91">
        <f>SUM(G4:G10)</f>
        <v>577.09999999999991</v>
      </c>
      <c r="H11" s="91">
        <f>SUM(H4:H10)</f>
        <v>15.807</v>
      </c>
      <c r="I11" s="91">
        <f>SUM(I4:I10)</f>
        <v>21.686</v>
      </c>
      <c r="J11" s="126">
        <f>SUM(J4:J10)</f>
        <v>79.586500000000001</v>
      </c>
    </row>
    <row r="12" spans="1:10" ht="15.75" x14ac:dyDescent="0.25">
      <c r="A12" s="40"/>
      <c r="B12" s="7" t="s">
        <v>14</v>
      </c>
      <c r="C12" s="75">
        <v>4</v>
      </c>
      <c r="D12" s="76" t="s">
        <v>34</v>
      </c>
      <c r="E12" s="63" t="s">
        <v>66</v>
      </c>
      <c r="F12" s="97">
        <f>37.27*40/60</f>
        <v>24.846666666666671</v>
      </c>
      <c r="G12" s="8">
        <v>8.4</v>
      </c>
      <c r="H12" s="8">
        <v>0.48</v>
      </c>
      <c r="I12" s="8">
        <v>0.06</v>
      </c>
      <c r="J12" s="9">
        <v>1.5</v>
      </c>
    </row>
    <row r="13" spans="1:10" ht="15.75" x14ac:dyDescent="0.25">
      <c r="A13" s="42"/>
      <c r="B13" s="119" t="s">
        <v>43</v>
      </c>
      <c r="C13" s="120">
        <v>7</v>
      </c>
      <c r="D13" s="121" t="s">
        <v>48</v>
      </c>
      <c r="E13" s="107" t="s">
        <v>49</v>
      </c>
      <c r="F13" s="108">
        <f>27.62*180/180</f>
        <v>27.62</v>
      </c>
      <c r="G13" s="109">
        <f>159.12*180/180</f>
        <v>159.12</v>
      </c>
      <c r="H13" s="109">
        <f>3.74*180/180</f>
        <v>3.74</v>
      </c>
      <c r="I13" s="109">
        <f>6.12*180/180</f>
        <v>6.1199999999999992</v>
      </c>
      <c r="J13" s="110">
        <f>22.28*180/180</f>
        <v>22.28</v>
      </c>
    </row>
    <row r="14" spans="1:10" ht="30" x14ac:dyDescent="0.25">
      <c r="A14" s="42"/>
      <c r="B14" s="119" t="s">
        <v>16</v>
      </c>
      <c r="C14" s="120">
        <v>14</v>
      </c>
      <c r="D14" s="121" t="s">
        <v>50</v>
      </c>
      <c r="E14" s="107" t="s">
        <v>65</v>
      </c>
      <c r="F14" s="108">
        <f>37.9*90/100</f>
        <v>34.11</v>
      </c>
      <c r="G14" s="109">
        <v>214.2</v>
      </c>
      <c r="H14" s="109">
        <v>13.62</v>
      </c>
      <c r="I14" s="109">
        <v>12.68</v>
      </c>
      <c r="J14" s="110">
        <v>7.61</v>
      </c>
    </row>
    <row r="15" spans="1:10" ht="16.899999999999999" customHeight="1" x14ac:dyDescent="0.25">
      <c r="A15" s="42"/>
      <c r="B15" s="46" t="s">
        <v>24</v>
      </c>
      <c r="C15" s="111">
        <v>15</v>
      </c>
      <c r="D15" s="106" t="s">
        <v>45</v>
      </c>
      <c r="E15" s="112">
        <v>25</v>
      </c>
      <c r="F15" s="108">
        <f>3.99*25/20</f>
        <v>4.9874999999999998</v>
      </c>
      <c r="G15" s="12">
        <v>21.25</v>
      </c>
      <c r="H15" s="12">
        <v>0.45</v>
      </c>
      <c r="I15" s="12">
        <v>1.31</v>
      </c>
      <c r="J15" s="13">
        <v>1.92</v>
      </c>
    </row>
    <row r="16" spans="1:10" ht="15.75" x14ac:dyDescent="0.25">
      <c r="A16" s="42"/>
      <c r="B16" s="43" t="s">
        <v>19</v>
      </c>
      <c r="C16" s="105" t="s">
        <v>22</v>
      </c>
      <c r="D16" s="106" t="s">
        <v>27</v>
      </c>
      <c r="E16" s="113" t="s">
        <v>67</v>
      </c>
      <c r="F16" s="114">
        <f>81.6*0.022</f>
        <v>1.7951999999999997</v>
      </c>
      <c r="G16" s="44">
        <f>62.4*30/30</f>
        <v>62.4</v>
      </c>
      <c r="H16" s="44">
        <f>2.4*30/30</f>
        <v>2.4</v>
      </c>
      <c r="I16" s="44">
        <f>0.45*30/30</f>
        <v>0.45</v>
      </c>
      <c r="J16" s="45">
        <f>11.37*30/30</f>
        <v>11.37</v>
      </c>
    </row>
    <row r="17" spans="1:10" ht="15.75" x14ac:dyDescent="0.25">
      <c r="A17" s="42"/>
      <c r="B17" s="49" t="s">
        <v>17</v>
      </c>
      <c r="C17" s="115" t="s">
        <v>22</v>
      </c>
      <c r="D17" s="116" t="s">
        <v>23</v>
      </c>
      <c r="E17" s="117" t="s">
        <v>68</v>
      </c>
      <c r="F17" s="118">
        <f>55.37*0.021</f>
        <v>1.1627700000000001</v>
      </c>
      <c r="G17" s="47">
        <f>60*30/30</f>
        <v>60</v>
      </c>
      <c r="H17" s="47">
        <f>1.47*30/30</f>
        <v>1.47</v>
      </c>
      <c r="I17" s="47">
        <f>0.3*30/30</f>
        <v>0.3</v>
      </c>
      <c r="J17" s="48">
        <f>13.44*30/30</f>
        <v>13.44</v>
      </c>
    </row>
    <row r="18" spans="1:10" ht="30" x14ac:dyDescent="0.25">
      <c r="A18" s="42"/>
      <c r="B18" s="49" t="s">
        <v>26</v>
      </c>
      <c r="C18" s="115">
        <v>17</v>
      </c>
      <c r="D18" s="116" t="s">
        <v>51</v>
      </c>
      <c r="E18" s="117" t="s">
        <v>36</v>
      </c>
      <c r="F18" s="118">
        <v>5.48</v>
      </c>
      <c r="G18" s="47">
        <v>80</v>
      </c>
      <c r="H18" s="47">
        <v>0.44</v>
      </c>
      <c r="I18" s="47">
        <v>0</v>
      </c>
      <c r="J18" s="48">
        <v>18.899999999999999</v>
      </c>
    </row>
    <row r="19" spans="1:10" ht="16.5" thickBot="1" x14ac:dyDescent="0.3">
      <c r="A19" s="50"/>
      <c r="B19" s="51"/>
      <c r="C19" s="52"/>
      <c r="D19" s="52"/>
      <c r="E19" s="92"/>
      <c r="F19" s="104">
        <f>SUM(F12:F18)</f>
        <v>100.00213666666666</v>
      </c>
      <c r="G19" s="54">
        <f>SUM(G12:G18)</f>
        <v>605.37</v>
      </c>
      <c r="H19" s="54">
        <f>SUM(H12:H18)</f>
        <v>22.599999999999998</v>
      </c>
      <c r="I19" s="54">
        <f>SUM(I12:I18)</f>
        <v>20.919999999999998</v>
      </c>
      <c r="J19" s="55">
        <f>SUM(J12:J18)</f>
        <v>77.02</v>
      </c>
    </row>
    <row r="20" spans="1:10" ht="15.75" x14ac:dyDescent="0.25">
      <c r="A20" s="40"/>
      <c r="B20" s="130" t="s">
        <v>14</v>
      </c>
      <c r="C20" s="75">
        <v>4</v>
      </c>
      <c r="D20" s="76" t="s">
        <v>34</v>
      </c>
      <c r="E20" s="63" t="s">
        <v>69</v>
      </c>
      <c r="F20" s="97">
        <f>37.27*35/60</f>
        <v>21.740833333333335</v>
      </c>
      <c r="G20" s="8">
        <v>8.4</v>
      </c>
      <c r="H20" s="8">
        <v>0.48</v>
      </c>
      <c r="I20" s="8">
        <v>0.06</v>
      </c>
      <c r="J20" s="9">
        <v>1.5</v>
      </c>
    </row>
    <row r="21" spans="1:10" ht="30" x14ac:dyDescent="0.25">
      <c r="A21" s="42"/>
      <c r="B21" s="43" t="s">
        <v>15</v>
      </c>
      <c r="C21" s="77">
        <v>49</v>
      </c>
      <c r="D21" s="78" t="s">
        <v>52</v>
      </c>
      <c r="E21" s="66" t="s">
        <v>70</v>
      </c>
      <c r="F21" s="94">
        <f>13.96*230/250+21.08*20/30</f>
        <v>26.896533333333334</v>
      </c>
      <c r="G21" s="12">
        <v>132.5</v>
      </c>
      <c r="H21" s="12">
        <v>2.65</v>
      </c>
      <c r="I21" s="12">
        <v>2.78</v>
      </c>
      <c r="J21" s="13">
        <v>24.23</v>
      </c>
    </row>
    <row r="22" spans="1:10" ht="15.75" x14ac:dyDescent="0.25">
      <c r="A22" s="42"/>
      <c r="B22" s="119" t="s">
        <v>43</v>
      </c>
      <c r="C22" s="120">
        <v>7</v>
      </c>
      <c r="D22" s="121" t="s">
        <v>48</v>
      </c>
      <c r="E22" s="107" t="s">
        <v>49</v>
      </c>
      <c r="F22" s="122">
        <f>27.62*180/180</f>
        <v>27.62</v>
      </c>
      <c r="G22" s="109">
        <f>159.12*180/180</f>
        <v>159.12</v>
      </c>
      <c r="H22" s="109">
        <f>3.74*180/180</f>
        <v>3.74</v>
      </c>
      <c r="I22" s="109">
        <f>6.12*180/180</f>
        <v>6.1199999999999992</v>
      </c>
      <c r="J22" s="110">
        <f>22.28*180/180</f>
        <v>22.28</v>
      </c>
    </row>
    <row r="23" spans="1:10" ht="30" x14ac:dyDescent="0.25">
      <c r="A23" s="42"/>
      <c r="B23" s="119" t="s">
        <v>16</v>
      </c>
      <c r="C23" s="120">
        <v>14</v>
      </c>
      <c r="D23" s="121" t="s">
        <v>50</v>
      </c>
      <c r="E23" s="107" t="s">
        <v>65</v>
      </c>
      <c r="F23" s="108">
        <f>37.9*90/100</f>
        <v>34.11</v>
      </c>
      <c r="G23" s="109">
        <v>214.2</v>
      </c>
      <c r="H23" s="109">
        <v>13.62</v>
      </c>
      <c r="I23" s="109">
        <v>12.68</v>
      </c>
      <c r="J23" s="110">
        <v>7.61</v>
      </c>
    </row>
    <row r="24" spans="1:10" ht="14.45" customHeight="1" x14ac:dyDescent="0.25">
      <c r="A24" s="42"/>
      <c r="B24" s="46" t="s">
        <v>24</v>
      </c>
      <c r="C24" s="111">
        <v>15</v>
      </c>
      <c r="D24" s="106" t="s">
        <v>45</v>
      </c>
      <c r="E24" s="112">
        <v>25</v>
      </c>
      <c r="F24" s="108">
        <f>3.99*25/20</f>
        <v>4.9874999999999998</v>
      </c>
      <c r="G24" s="12">
        <v>21.25</v>
      </c>
      <c r="H24" s="12">
        <v>0.45</v>
      </c>
      <c r="I24" s="12">
        <v>1.31</v>
      </c>
      <c r="J24" s="13">
        <v>1.92</v>
      </c>
    </row>
    <row r="25" spans="1:10" ht="15.75" x14ac:dyDescent="0.25">
      <c r="A25" s="42"/>
      <c r="B25" s="43" t="s">
        <v>19</v>
      </c>
      <c r="C25" s="105" t="s">
        <v>22</v>
      </c>
      <c r="D25" s="106" t="s">
        <v>27</v>
      </c>
      <c r="E25" s="113" t="s">
        <v>64</v>
      </c>
      <c r="F25" s="114">
        <f>81.6*0.031</f>
        <v>2.5295999999999998</v>
      </c>
      <c r="G25" s="44">
        <f>62.4*30/30</f>
        <v>62.4</v>
      </c>
      <c r="H25" s="44">
        <f>2.4*30/30</f>
        <v>2.4</v>
      </c>
      <c r="I25" s="44">
        <f>0.45*30/30</f>
        <v>0.45</v>
      </c>
      <c r="J25" s="45">
        <f>11.37*30/30</f>
        <v>11.37</v>
      </c>
    </row>
    <row r="26" spans="1:10" ht="15.75" x14ac:dyDescent="0.25">
      <c r="A26" s="42"/>
      <c r="B26" s="49" t="s">
        <v>17</v>
      </c>
      <c r="C26" s="115" t="s">
        <v>22</v>
      </c>
      <c r="D26" s="116" t="s">
        <v>23</v>
      </c>
      <c r="E26" s="117" t="s">
        <v>71</v>
      </c>
      <c r="F26" s="118">
        <v>1.64</v>
      </c>
      <c r="G26" s="47">
        <f>60*30/30</f>
        <v>60</v>
      </c>
      <c r="H26" s="47">
        <f>1.47*30/30</f>
        <v>1.47</v>
      </c>
      <c r="I26" s="47">
        <f>0.3*30/30</f>
        <v>0.3</v>
      </c>
      <c r="J26" s="48">
        <f>13.44*30/30</f>
        <v>13.44</v>
      </c>
    </row>
    <row r="27" spans="1:10" ht="30" x14ac:dyDescent="0.25">
      <c r="A27" s="42"/>
      <c r="B27" s="49" t="s">
        <v>26</v>
      </c>
      <c r="C27" s="115">
        <v>17</v>
      </c>
      <c r="D27" s="116" t="s">
        <v>51</v>
      </c>
      <c r="E27" s="117" t="s">
        <v>36</v>
      </c>
      <c r="F27" s="118">
        <v>5.48</v>
      </c>
      <c r="G27" s="47">
        <v>80</v>
      </c>
      <c r="H27" s="47">
        <v>0.44</v>
      </c>
      <c r="I27" s="47">
        <v>0</v>
      </c>
      <c r="J27" s="48">
        <v>18.899999999999999</v>
      </c>
    </row>
    <row r="28" spans="1:10" ht="16.5" thickBot="1" x14ac:dyDescent="0.3">
      <c r="A28" s="50"/>
      <c r="B28" s="51"/>
      <c r="C28" s="52"/>
      <c r="D28" s="52"/>
      <c r="E28" s="53"/>
      <c r="F28" s="131">
        <f>SUM(F20:F27)</f>
        <v>125.00446666666667</v>
      </c>
      <c r="G28" s="54">
        <f>SUM(G20:G27)</f>
        <v>737.87</v>
      </c>
      <c r="H28" s="54">
        <f>SUM(H20:H27)</f>
        <v>25.249999999999996</v>
      </c>
      <c r="I28" s="54">
        <f>SUM(I20:I27)</f>
        <v>23.7</v>
      </c>
      <c r="J28" s="55">
        <f>SUM(J20:J27)</f>
        <v>101.25</v>
      </c>
    </row>
    <row r="29" spans="1:10" s="1" customFormat="1" x14ac:dyDescent="0.25">
      <c r="E29" s="21"/>
      <c r="F29" s="21"/>
    </row>
    <row r="30" spans="1:10" s="1" customFormat="1" x14ac:dyDescent="0.25">
      <c r="A30" s="28" t="s">
        <v>31</v>
      </c>
      <c r="E30" s="21"/>
      <c r="F30" s="21"/>
    </row>
    <row r="31" spans="1:10" s="1" customFormat="1" x14ac:dyDescent="0.25">
      <c r="E31" s="21"/>
      <c r="F31" s="21"/>
    </row>
    <row r="32" spans="1:10" s="1" customFormat="1" x14ac:dyDescent="0.25">
      <c r="A32" s="28" t="s">
        <v>32</v>
      </c>
      <c r="E32" s="21"/>
      <c r="F32" s="21"/>
    </row>
    <row r="33" spans="5:6" s="1" customFormat="1" x14ac:dyDescent="0.25">
      <c r="E33" s="21"/>
      <c r="F33" s="21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G6 F14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2022-09-06T06:34:46Z</cp:lastPrinted>
  <dcterms:created xsi:type="dcterms:W3CDTF">2015-06-05T18:19:34Z</dcterms:created>
  <dcterms:modified xsi:type="dcterms:W3CDTF">2022-12-19T05:50:49Z</dcterms:modified>
</cp:coreProperties>
</file>