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529F66B5-6143-4DF9-9124-8934DE19132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9" i="2"/>
  <c r="F35" i="1"/>
  <c r="F34" i="1"/>
  <c r="F16" i="1"/>
  <c r="F15" i="1"/>
  <c r="I10" i="2"/>
  <c r="J9" i="2"/>
  <c r="J8" i="2"/>
  <c r="J10" i="2" s="1"/>
  <c r="I9" i="2"/>
  <c r="I8" i="2"/>
  <c r="H9" i="2"/>
  <c r="H8" i="2"/>
  <c r="G9" i="2"/>
  <c r="G8" i="2"/>
  <c r="F9" i="2"/>
  <c r="F8" i="2"/>
  <c r="J4" i="2"/>
  <c r="I4" i="2"/>
  <c r="H4" i="2"/>
  <c r="H10" i="2" s="1"/>
  <c r="G4" i="2"/>
  <c r="G10" i="2" s="1"/>
  <c r="F4" i="2"/>
  <c r="J19" i="1"/>
  <c r="I19" i="1"/>
  <c r="H19" i="1"/>
  <c r="G19" i="1"/>
  <c r="F19" i="1"/>
  <c r="F14" i="1"/>
  <c r="F38" i="1"/>
  <c r="J23" i="2"/>
  <c r="I23" i="2"/>
  <c r="H23" i="2"/>
  <c r="G23" i="2"/>
  <c r="J22" i="2"/>
  <c r="I22" i="2"/>
  <c r="H22" i="2"/>
  <c r="G22" i="2"/>
  <c r="F23" i="2"/>
  <c r="F22" i="2"/>
  <c r="F24" i="2"/>
  <c r="F20" i="2"/>
  <c r="J18" i="2"/>
  <c r="I18" i="2"/>
  <c r="H18" i="2"/>
  <c r="G18" i="2"/>
  <c r="J11" i="2"/>
  <c r="I11" i="2"/>
  <c r="H11" i="2"/>
  <c r="G11" i="2"/>
  <c r="J16" i="2"/>
  <c r="J15" i="2"/>
  <c r="I16" i="2"/>
  <c r="I15" i="2"/>
  <c r="H16" i="2"/>
  <c r="H15" i="2"/>
  <c r="G16" i="2"/>
  <c r="G15" i="2"/>
  <c r="F15" i="2"/>
  <c r="F14" i="2"/>
  <c r="F12" i="2"/>
  <c r="F11" i="2"/>
  <c r="F7" i="2"/>
  <c r="F5" i="2"/>
  <c r="F37" i="1"/>
  <c r="F33" i="1"/>
  <c r="J28" i="1"/>
  <c r="J27" i="1"/>
  <c r="I28" i="1"/>
  <c r="I27" i="1"/>
  <c r="I29" i="1" s="1"/>
  <c r="H28" i="1"/>
  <c r="H29" i="1" s="1"/>
  <c r="H27" i="1"/>
  <c r="G28" i="1"/>
  <c r="G27" i="1"/>
  <c r="F24" i="1"/>
  <c r="J23" i="1"/>
  <c r="I23" i="1"/>
  <c r="H23" i="1"/>
  <c r="G23" i="1"/>
  <c r="G29" i="1" s="1"/>
  <c r="F23" i="1"/>
  <c r="J4" i="1"/>
  <c r="I4" i="1"/>
  <c r="H4" i="1"/>
  <c r="G4" i="1"/>
  <c r="J9" i="1"/>
  <c r="J8" i="1"/>
  <c r="I9" i="1"/>
  <c r="I8" i="1"/>
  <c r="H9" i="1"/>
  <c r="H8" i="1"/>
  <c r="G8" i="1"/>
  <c r="G9" i="1"/>
  <c r="F5" i="1"/>
  <c r="F4" i="1"/>
  <c r="F31" i="1"/>
  <c r="F28" i="1"/>
  <c r="F12" i="1"/>
  <c r="F8" i="1"/>
  <c r="H17" i="2"/>
  <c r="G17" i="2" l="1"/>
  <c r="J29" i="1"/>
  <c r="F17" i="2"/>
  <c r="G10" i="1" l="1"/>
  <c r="F26" i="1" l="1"/>
  <c r="F7" i="1"/>
  <c r="G25" i="2" l="1"/>
  <c r="H39" i="1"/>
  <c r="J33" i="1"/>
  <c r="J39" i="1" s="1"/>
  <c r="I33" i="1"/>
  <c r="H33" i="1"/>
  <c r="G33" i="1"/>
  <c r="G39" i="1" s="1"/>
  <c r="J31" i="1"/>
  <c r="J32" i="1" s="1"/>
  <c r="I31" i="1"/>
  <c r="I32" i="1" s="1"/>
  <c r="H31" i="1"/>
  <c r="H32" i="1" s="1"/>
  <c r="G31" i="1"/>
  <c r="G32" i="1" s="1"/>
  <c r="J12" i="1"/>
  <c r="I12" i="1"/>
  <c r="H12" i="1"/>
  <c r="G12" i="1"/>
  <c r="G13" i="1" s="1"/>
  <c r="J25" i="2" l="1"/>
  <c r="H25" i="2"/>
  <c r="I25" i="2"/>
  <c r="I39" i="1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<sst xmlns="http://schemas.openxmlformats.org/spreadsheetml/2006/main" count="178" uniqueCount="61">
  <si>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</si>
  <si>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</si>
  <si>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</si>
  <si>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</si>
  <si>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</si>
  <si>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</si>
  <si>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</si>
  <si>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</si>
  <si>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</si>
  <si>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</si>
  <si>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</si>
  <si>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</si>
  <si>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</si>
  <si>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</si>
  <si>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</si>
  <si>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</si>
  <si>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</si>
  <si>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</si>
  <si>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</si>
  <si>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</si>
  <si>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</si>
  <si>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</si>
  <si>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</si>
  <si>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</si>
  <si>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</si>
  <si>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</si>
  <si>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</si>
  <si>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</si>
  <si>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</si>
  <si>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</si>
  <si>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</si>
  <si>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</si>
  <si>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</si>
  <si>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</si>
  <si>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</si>
  <si>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</si>
  <si>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</si>
  <si>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</si>
  <si>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</si>
  <si>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</si>
  <si>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</si>
  <si>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</si>
  <si>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</si>
  <si>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</si>
  <si>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</si>
  <si>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</si>
  <si>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</si>
  <si>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240/10/5</t>
  </si>
  <si>
    <t>220</t>
  </si>
  <si>
    <t>38</t>
  </si>
  <si>
    <t>Кукуруза отварная</t>
  </si>
  <si>
    <t>Компот из кураги</t>
  </si>
  <si>
    <t>57</t>
  </si>
  <si>
    <t>40</t>
  </si>
  <si>
    <t>60</t>
  </si>
  <si>
    <t>19</t>
  </si>
  <si>
    <t>100</t>
  </si>
  <si>
    <t>39</t>
  </si>
  <si>
    <t xml:space="preserve">Борщ с капустой и картофелем со сметаной </t>
  </si>
  <si>
    <t>250/5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</si>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</sst>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2" fontId="0" fillId="0" borderId="19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0" fillId="0" borderId="20" xfId="0" applyFill="1" applyBorder="1"/>
    <xf numFmtId="2" fontId="0" fillId="0" borderId="21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2" fontId="0" fillId="0" borderId="22" xfId="0" applyNumberFormat="1" applyFill="1" applyBorder="1" applyProtection="1">
      <protection locked="0"/>
    </xf>
    <xf numFmtId="0" fontId="3" fillId="0" borderId="23" xfId="0" applyFont="1" applyFill="1" applyBorder="1"/>
    <xf numFmtId="0" fontId="4" fillId="0" borderId="23" xfId="0" applyFont="1" applyFill="1" applyBorder="1"/>
    <xf numFmtId="0" fontId="3" fillId="0" borderId="23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25" xfId="0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3" xfId="0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7" xfId="0" applyFont="1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27" xfId="0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/>
    <xf numFmtId="0" fontId="0" fillId="0" borderId="28" xfId="0" applyFill="1" applyBorder="1"/>
    <xf numFmtId="0" fontId="0" fillId="0" borderId="38" xfId="0" applyFill="1" applyBorder="1"/>
    <xf numFmtId="0" fontId="0" fillId="0" borderId="26" xfId="0" applyFill="1" applyBorder="1" applyAlignment="1">
      <alignment horizontal="center" vertical="center"/>
    </xf>
    <xf numFmtId="0" fontId="3" fillId="0" borderId="39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3" fillId="0" borderId="25" xfId="0" applyFont="1" applyFill="1" applyBorder="1"/>
    <xf numFmtId="0" fontId="3" fillId="0" borderId="42" xfId="0" applyFont="1" applyFill="1" applyBorder="1" applyProtection="1">
      <protection locked="0"/>
    </xf>
    <xf numFmtId="0" fontId="3" fillId="0" borderId="43" xfId="0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I1" sqref="I1:I1048576"/>
    </sheetView>
  </sheetViews>
  <sheetFormatPr defaultColWidth="8.875" defaultRowHeight="15" x14ac:dyDescent="0.25"/>
  <cols>
    <col min="1" max="1" width="11.625" style="1" bestFit="1" customWidth="1"/>
    <col min="2" max="2" width="11.5" style="1" customWidth="1"/>
    <col min="3" max="3" width="7.125" style="1" bestFit="1" customWidth="1"/>
    <col min="4" max="4" width="24.625" style="1" bestFit="1" customWidth="1"/>
    <col min="5" max="5" width="9.5" style="14" customWidth="1"/>
    <col min="6" max="6" width="8.375" style="14" bestFit="1" customWidth="1"/>
    <col min="7" max="7" width="7.625" style="1" customWidth="1"/>
    <col min="8" max="8" width="6.125" style="1" bestFit="1" customWidth="1"/>
    <col min="9" max="9" width="10.875" style="1" customWidth="1"/>
    <col min="10" max="10" width="8.5" style="1" customWidth="1"/>
    <col min="11" max="16384" width="8.875" style="1"/>
  </cols>
  <sheetData>
    <row r="1" spans="1:10" ht="28.9" customHeight="1" x14ac:dyDescent="0.25">
      <c r="A1" s="1" t="s">
        <v>0</v>
      </c>
      <c r="B1" s="124" t="s">
        <v>60</v>
      </c>
      <c r="C1" s="125"/>
      <c r="D1" s="126"/>
      <c r="E1" s="14" t="s">
        <v>27</v>
      </c>
      <c r="F1" s="13"/>
      <c r="H1" s="1" t="s">
        <v>1</v>
      </c>
      <c r="I1" s="12">
        <v>44910</v>
      </c>
    </row>
    <row r="2" spans="1:10" ht="15.75" thickBot="1" x14ac:dyDescent="0.3">
      <c r="B2" s="2" t="s">
        <v>26</v>
      </c>
    </row>
    <row r="3" spans="1:10" s="19" customFormat="1" ht="30.75" thickBot="1" x14ac:dyDescent="0.3">
      <c r="A3" s="15" t="s">
        <v>2</v>
      </c>
      <c r="B3" s="16" t="s">
        <v>3</v>
      </c>
      <c r="C3" s="16" t="s">
        <v>19</v>
      </c>
      <c r="D3" s="16" t="s">
        <v>4</v>
      </c>
      <c r="E3" s="31" t="s">
        <v>20</v>
      </c>
      <c r="F3" s="31" t="s">
        <v>5</v>
      </c>
      <c r="G3" s="17" t="s">
        <v>6</v>
      </c>
      <c r="H3" s="16" t="s">
        <v>7</v>
      </c>
      <c r="I3" s="16" t="s">
        <v>8</v>
      </c>
      <c r="J3" s="18" t="s">
        <v>9</v>
      </c>
    </row>
    <row r="4" spans="1:10" s="19" customFormat="1" ht="15.75" x14ac:dyDescent="0.25">
      <c r="A4" s="111"/>
      <c r="B4" s="110" t="s">
        <v>37</v>
      </c>
      <c r="C4" s="62">
        <v>1</v>
      </c>
      <c r="D4" s="63" t="s">
        <v>50</v>
      </c>
      <c r="E4" s="64">
        <v>75</v>
      </c>
      <c r="F4" s="65">
        <f>25.65*75/75</f>
        <v>25.65</v>
      </c>
      <c r="G4" s="58">
        <f>30*75/75</f>
        <v>30</v>
      </c>
      <c r="H4" s="59">
        <f>2.33*75/75</f>
        <v>2.33</v>
      </c>
      <c r="I4" s="59">
        <f>0.15*75/75</f>
        <v>0.15</v>
      </c>
      <c r="J4" s="60">
        <f>4.88*75/75</f>
        <v>4.88</v>
      </c>
    </row>
    <row r="5" spans="1:10" ht="15.75" x14ac:dyDescent="0.25">
      <c r="A5" s="112" t="s">
        <v>10</v>
      </c>
      <c r="B5" s="98" t="s">
        <v>11</v>
      </c>
      <c r="C5" s="71">
        <v>32</v>
      </c>
      <c r="D5" s="72" t="s">
        <v>39</v>
      </c>
      <c r="E5" s="92" t="s">
        <v>34</v>
      </c>
      <c r="F5" s="74">
        <f>25.09*25/32+7.33*125/118</f>
        <v>27.366393008474574</v>
      </c>
      <c r="G5" s="7">
        <v>313</v>
      </c>
      <c r="H5" s="7">
        <v>13.84</v>
      </c>
      <c r="I5" s="7">
        <v>13.14</v>
      </c>
      <c r="J5" s="8">
        <v>35.020000000000003</v>
      </c>
    </row>
    <row r="6" spans="1:10" ht="15.75" x14ac:dyDescent="0.25">
      <c r="A6" s="104"/>
      <c r="B6" s="99" t="s">
        <v>12</v>
      </c>
      <c r="C6" s="67">
        <v>57</v>
      </c>
      <c r="D6" s="68" t="s">
        <v>40</v>
      </c>
      <c r="E6" s="69" t="s">
        <v>31</v>
      </c>
      <c r="F6" s="70">
        <v>1.1599999999999999</v>
      </c>
      <c r="G6" s="11">
        <v>41</v>
      </c>
      <c r="H6" s="11">
        <v>0</v>
      </c>
      <c r="I6" s="11">
        <v>0</v>
      </c>
      <c r="J6" s="26">
        <v>10.01</v>
      </c>
    </row>
    <row r="7" spans="1:10" ht="15.75" x14ac:dyDescent="0.25">
      <c r="A7" s="104"/>
      <c r="B7" s="100" t="s">
        <v>17</v>
      </c>
      <c r="C7" s="67" t="s">
        <v>21</v>
      </c>
      <c r="D7" s="68" t="s">
        <v>38</v>
      </c>
      <c r="E7" s="69" t="s">
        <v>49</v>
      </c>
      <c r="F7" s="70">
        <f>150*0.038</f>
        <v>5.7</v>
      </c>
      <c r="G7" s="7">
        <v>144.74</v>
      </c>
      <c r="H7" s="7">
        <v>3.53</v>
      </c>
      <c r="I7" s="7">
        <v>9.8800000000000008</v>
      </c>
      <c r="J7" s="8">
        <v>3.53</v>
      </c>
    </row>
    <row r="8" spans="1:10" ht="15.75" x14ac:dyDescent="0.25">
      <c r="A8" s="104"/>
      <c r="B8" s="98"/>
      <c r="C8" s="71" t="s">
        <v>21</v>
      </c>
      <c r="D8" s="72" t="s">
        <v>22</v>
      </c>
      <c r="E8" s="73">
        <v>21</v>
      </c>
      <c r="F8" s="74">
        <f>46.14*0.021</f>
        <v>0.96894000000000002</v>
      </c>
      <c r="G8" s="7">
        <f>40*21/20</f>
        <v>42</v>
      </c>
      <c r="H8" s="7">
        <f>0.98*21/20</f>
        <v>1.0289999999999999</v>
      </c>
      <c r="I8" s="7">
        <f>0.2*21/20</f>
        <v>0.21000000000000002</v>
      </c>
      <c r="J8" s="8">
        <f>8.95*21/20</f>
        <v>9.3974999999999991</v>
      </c>
    </row>
    <row r="9" spans="1:10" ht="15.75" x14ac:dyDescent="0.25">
      <c r="A9" s="104"/>
      <c r="B9" s="101"/>
      <c r="C9" s="71" t="s">
        <v>21</v>
      </c>
      <c r="D9" s="72" t="s">
        <v>36</v>
      </c>
      <c r="E9" s="73">
        <v>22</v>
      </c>
      <c r="F9" s="74">
        <v>1.45</v>
      </c>
      <c r="G9" s="7">
        <f>41.6*22/20</f>
        <v>45.760000000000005</v>
      </c>
      <c r="H9" s="7">
        <f>1.6*22/20</f>
        <v>1.7600000000000002</v>
      </c>
      <c r="I9" s="7">
        <f>0.03*22/20</f>
        <v>3.2999999999999995E-2</v>
      </c>
      <c r="J9" s="8">
        <f>8.02*22/20</f>
        <v>8.8219999999999992</v>
      </c>
    </row>
    <row r="10" spans="1:10" ht="16.5" thickBot="1" x14ac:dyDescent="0.3">
      <c r="A10" s="105"/>
      <c r="B10" s="102"/>
      <c r="C10" s="75"/>
      <c r="D10" s="76"/>
      <c r="E10" s="77"/>
      <c r="F10" s="78">
        <v>60.57</v>
      </c>
      <c r="G10" s="47">
        <f>SUM(G4:G9)</f>
        <v>616.5</v>
      </c>
      <c r="H10" s="47">
        <f>SUM(H5:H9)</f>
        <v>20.159000000000002</v>
      </c>
      <c r="I10" s="47">
        <f>SUM(I5:I9)</f>
        <v>23.263000000000005</v>
      </c>
      <c r="J10" s="54">
        <f>SUM(J5:J9)</f>
        <v>66.779499999999999</v>
      </c>
    </row>
    <row r="11" spans="1:10" ht="15.75" x14ac:dyDescent="0.25">
      <c r="A11" s="109" t="s">
        <v>23</v>
      </c>
      <c r="B11" s="106"/>
      <c r="C11" s="79">
        <v>63</v>
      </c>
      <c r="D11" s="80" t="s">
        <v>46</v>
      </c>
      <c r="E11" s="81">
        <v>200</v>
      </c>
      <c r="F11" s="66">
        <v>19.420000000000002</v>
      </c>
      <c r="G11" s="4">
        <v>106</v>
      </c>
      <c r="H11" s="4">
        <v>5.8</v>
      </c>
      <c r="I11" s="4">
        <v>5</v>
      </c>
      <c r="J11" s="5">
        <v>80</v>
      </c>
    </row>
    <row r="12" spans="1:10" ht="15.75" x14ac:dyDescent="0.25">
      <c r="A12" s="104"/>
      <c r="B12" s="107"/>
      <c r="C12" s="82">
        <v>44</v>
      </c>
      <c r="D12" s="83" t="s">
        <v>41</v>
      </c>
      <c r="E12" s="84">
        <v>120</v>
      </c>
      <c r="F12" s="70">
        <f>22.23*120/100</f>
        <v>26.675999999999998</v>
      </c>
      <c r="G12" s="11">
        <f>356.67*115/100</f>
        <v>410.1705</v>
      </c>
      <c r="H12" s="11">
        <f>10.5*115/100</f>
        <v>12.074999999999999</v>
      </c>
      <c r="I12" s="11">
        <f>10.33*115/100</f>
        <v>11.8795</v>
      </c>
      <c r="J12" s="26">
        <f>55.33*115/100</f>
        <v>63.6295</v>
      </c>
    </row>
    <row r="13" spans="1:10" ht="16.5" thickBot="1" x14ac:dyDescent="0.3">
      <c r="A13" s="105"/>
      <c r="B13" s="108"/>
      <c r="C13" s="85"/>
      <c r="D13" s="86"/>
      <c r="E13" s="87"/>
      <c r="F13" s="88">
        <v>45.43</v>
      </c>
      <c r="G13" s="49">
        <f>SUM(G11:G12)</f>
        <v>516.17049999999995</v>
      </c>
      <c r="H13" s="49">
        <f>SUM(H11:H12)</f>
        <v>17.875</v>
      </c>
      <c r="I13" s="49">
        <f>SUM(I11:I12)</f>
        <v>16.8795</v>
      </c>
      <c r="J13" s="50">
        <f>SUM(J11:J12)</f>
        <v>143.62950000000001</v>
      </c>
    </row>
    <row r="14" spans="1:10" ht="15.75" x14ac:dyDescent="0.25">
      <c r="A14" s="109" t="s">
        <v>13</v>
      </c>
      <c r="B14" s="106" t="s">
        <v>42</v>
      </c>
      <c r="C14" s="40">
        <v>4</v>
      </c>
      <c r="D14" s="41" t="s">
        <v>43</v>
      </c>
      <c r="E14" s="32" t="s">
        <v>54</v>
      </c>
      <c r="F14" s="51">
        <f>28.02*60/60</f>
        <v>28.02</v>
      </c>
      <c r="G14" s="4">
        <v>8.4</v>
      </c>
      <c r="H14" s="4">
        <v>0.48</v>
      </c>
      <c r="I14" s="4">
        <v>0.06</v>
      </c>
      <c r="J14" s="5">
        <v>1.5</v>
      </c>
    </row>
    <row r="15" spans="1:10" ht="30" x14ac:dyDescent="0.25">
      <c r="A15" s="104"/>
      <c r="B15" s="98" t="s">
        <v>14</v>
      </c>
      <c r="C15" s="42">
        <v>22</v>
      </c>
      <c r="D15" s="43" t="s">
        <v>58</v>
      </c>
      <c r="E15" s="34" t="s">
        <v>59</v>
      </c>
      <c r="F15" s="48">
        <f>10.25*250/250+1.84</f>
        <v>12.09</v>
      </c>
      <c r="G15" s="7">
        <v>108.75</v>
      </c>
      <c r="H15" s="7">
        <v>1.72</v>
      </c>
      <c r="I15" s="7">
        <v>6.18</v>
      </c>
      <c r="J15" s="8">
        <v>11.66</v>
      </c>
    </row>
    <row r="16" spans="1:10" ht="15.75" x14ac:dyDescent="0.25">
      <c r="A16" s="104"/>
      <c r="B16" s="98" t="s">
        <v>15</v>
      </c>
      <c r="C16" s="42">
        <v>39</v>
      </c>
      <c r="D16" s="43" t="s">
        <v>44</v>
      </c>
      <c r="E16" s="34" t="s">
        <v>48</v>
      </c>
      <c r="F16" s="48">
        <f>17.68*190/180+38.63*30/40</f>
        <v>47.634722222222223</v>
      </c>
      <c r="G16" s="7">
        <v>283</v>
      </c>
      <c r="H16" s="7">
        <v>13.43</v>
      </c>
      <c r="I16" s="7">
        <v>17.52</v>
      </c>
      <c r="J16" s="8">
        <v>16.059999999999999</v>
      </c>
    </row>
    <row r="17" spans="1:10" ht="15.75" x14ac:dyDescent="0.25">
      <c r="A17" s="104"/>
      <c r="B17" s="98" t="s">
        <v>24</v>
      </c>
      <c r="C17" s="94">
        <v>74</v>
      </c>
      <c r="D17" s="95" t="s">
        <v>51</v>
      </c>
      <c r="E17" s="92" t="s">
        <v>31</v>
      </c>
      <c r="F17" s="74">
        <v>11.44</v>
      </c>
      <c r="G17" s="96">
        <v>87</v>
      </c>
      <c r="H17" s="96">
        <v>1.04</v>
      </c>
      <c r="I17" s="96">
        <v>0</v>
      </c>
      <c r="J17" s="97">
        <v>20.98</v>
      </c>
    </row>
    <row r="18" spans="1:10" ht="15.75" x14ac:dyDescent="0.25">
      <c r="A18" s="104"/>
      <c r="B18" s="98" t="s">
        <v>18</v>
      </c>
      <c r="C18" s="42" t="s">
        <v>21</v>
      </c>
      <c r="D18" s="43" t="s">
        <v>25</v>
      </c>
      <c r="E18" s="34" t="s">
        <v>53</v>
      </c>
      <c r="F18" s="48">
        <v>2.68</v>
      </c>
      <c r="G18" s="7">
        <v>83.2</v>
      </c>
      <c r="H18" s="7">
        <v>3.2</v>
      </c>
      <c r="I18" s="7">
        <v>0.06</v>
      </c>
      <c r="J18" s="8">
        <v>16.04</v>
      </c>
    </row>
    <row r="19" spans="1:10" ht="15.75" x14ac:dyDescent="0.25">
      <c r="A19" s="104"/>
      <c r="B19" s="113" t="s">
        <v>16</v>
      </c>
      <c r="C19" s="44" t="s">
        <v>21</v>
      </c>
      <c r="D19" s="45" t="s">
        <v>22</v>
      </c>
      <c r="E19" s="35" t="s">
        <v>57</v>
      </c>
      <c r="F19" s="52">
        <f>44.16*0.039</f>
        <v>1.7222399999999998</v>
      </c>
      <c r="G19" s="7">
        <f>80*39/40</f>
        <v>78</v>
      </c>
      <c r="H19" s="7">
        <f>1.96*39/40</f>
        <v>1.911</v>
      </c>
      <c r="I19" s="7">
        <f>0.4*39/40</f>
        <v>0.39</v>
      </c>
      <c r="J19" s="8">
        <f>17.92*39/40</f>
        <v>17.472000000000001</v>
      </c>
    </row>
    <row r="20" spans="1:10" ht="16.5" thickBot="1" x14ac:dyDescent="0.3">
      <c r="A20" s="114"/>
      <c r="B20" s="108"/>
      <c r="C20" s="28"/>
      <c r="D20" s="28"/>
      <c r="E20" s="37"/>
      <c r="F20" s="53">
        <v>90.87</v>
      </c>
      <c r="G20" s="29">
        <f>SUM(G14:G19)</f>
        <v>648.35</v>
      </c>
      <c r="H20" s="29">
        <f>SUM(H14:H19)</f>
        <v>21.780999999999999</v>
      </c>
      <c r="I20" s="29">
        <f>SUM(I14:I19)</f>
        <v>24.209999999999997</v>
      </c>
      <c r="J20" s="30">
        <f>SUM(J14:J19)</f>
        <v>83.712000000000018</v>
      </c>
    </row>
    <row r="21" spans="1:10" ht="16.5" thickBot="1" x14ac:dyDescent="0.3">
      <c r="B21" s="2" t="s">
        <v>28</v>
      </c>
      <c r="E21" s="36"/>
      <c r="F21" s="36"/>
    </row>
    <row r="22" spans="1:10" ht="30.75" thickBot="1" x14ac:dyDescent="0.3">
      <c r="A22" s="15" t="s">
        <v>2</v>
      </c>
      <c r="B22" s="16" t="s">
        <v>3</v>
      </c>
      <c r="C22" s="16" t="s">
        <v>19</v>
      </c>
      <c r="D22" s="61"/>
      <c r="E22" s="31" t="s">
        <v>20</v>
      </c>
      <c r="F22" s="31" t="s">
        <v>5</v>
      </c>
      <c r="G22" s="17" t="s">
        <v>6</v>
      </c>
      <c r="H22" s="16" t="s">
        <v>7</v>
      </c>
      <c r="I22" s="16" t="s">
        <v>8</v>
      </c>
      <c r="J22" s="18" t="s">
        <v>9</v>
      </c>
    </row>
    <row r="23" spans="1:10" ht="16.5" thickBot="1" x14ac:dyDescent="0.3">
      <c r="A23" s="115"/>
      <c r="B23" s="110" t="s">
        <v>37</v>
      </c>
      <c r="C23" s="62">
        <v>1</v>
      </c>
      <c r="D23" s="63" t="s">
        <v>50</v>
      </c>
      <c r="E23" s="64">
        <v>100</v>
      </c>
      <c r="F23" s="65">
        <f>34.27*100/100</f>
        <v>34.270000000000003</v>
      </c>
      <c r="G23" s="58">
        <f>30*100/75</f>
        <v>40</v>
      </c>
      <c r="H23" s="59">
        <f>2.33*100/75</f>
        <v>3.1066666666666665</v>
      </c>
      <c r="I23" s="59">
        <f>0.15*100/75</f>
        <v>0.2</v>
      </c>
      <c r="J23" s="60">
        <f>4.88*100/75</f>
        <v>6.5066666666666668</v>
      </c>
    </row>
    <row r="24" spans="1:10" ht="15.75" x14ac:dyDescent="0.25">
      <c r="A24" s="103" t="s">
        <v>10</v>
      </c>
      <c r="B24" s="98" t="s">
        <v>11</v>
      </c>
      <c r="C24" s="71">
        <v>32</v>
      </c>
      <c r="D24" s="72" t="s">
        <v>39</v>
      </c>
      <c r="E24" s="92" t="s">
        <v>35</v>
      </c>
      <c r="F24" s="74">
        <f>30.01*30/38+8.75*150/142</f>
        <v>32.935063009636771</v>
      </c>
      <c r="G24" s="7">
        <v>375</v>
      </c>
      <c r="H24" s="7">
        <v>16.61</v>
      </c>
      <c r="I24" s="7">
        <v>15.77</v>
      </c>
      <c r="J24" s="8">
        <v>42.02</v>
      </c>
    </row>
    <row r="25" spans="1:10" ht="15.75" x14ac:dyDescent="0.25">
      <c r="A25" s="104"/>
      <c r="B25" s="99" t="s">
        <v>12</v>
      </c>
      <c r="C25" s="67">
        <v>57</v>
      </c>
      <c r="D25" s="68" t="s">
        <v>40</v>
      </c>
      <c r="E25" s="69" t="s">
        <v>31</v>
      </c>
      <c r="F25" s="70">
        <v>1.1599999999999999</v>
      </c>
      <c r="G25" s="11">
        <v>41</v>
      </c>
      <c r="H25" s="11">
        <v>0</v>
      </c>
      <c r="I25" s="11">
        <v>0</v>
      </c>
      <c r="J25" s="26">
        <v>10.01</v>
      </c>
    </row>
    <row r="26" spans="1:10" ht="15.75" x14ac:dyDescent="0.25">
      <c r="A26" s="104"/>
      <c r="B26" s="100" t="s">
        <v>17</v>
      </c>
      <c r="C26" s="67" t="s">
        <v>21</v>
      </c>
      <c r="D26" s="68" t="s">
        <v>38</v>
      </c>
      <c r="E26" s="69" t="s">
        <v>49</v>
      </c>
      <c r="F26" s="70">
        <f>150*0.038</f>
        <v>5.7</v>
      </c>
      <c r="G26" s="7">
        <v>144.74</v>
      </c>
      <c r="H26" s="7">
        <v>3.53</v>
      </c>
      <c r="I26" s="7">
        <v>9.8800000000000008</v>
      </c>
      <c r="J26" s="8">
        <v>3.53</v>
      </c>
    </row>
    <row r="27" spans="1:10" ht="15.75" x14ac:dyDescent="0.25">
      <c r="A27" s="104"/>
      <c r="B27" s="98"/>
      <c r="C27" s="71" t="s">
        <v>21</v>
      </c>
      <c r="D27" s="72" t="s">
        <v>22</v>
      </c>
      <c r="E27" s="73">
        <v>30</v>
      </c>
      <c r="F27" s="74">
        <v>1.3</v>
      </c>
      <c r="G27" s="7">
        <f>40*30/20</f>
        <v>60</v>
      </c>
      <c r="H27" s="7">
        <f>0.98*30/20</f>
        <v>1.47</v>
      </c>
      <c r="I27" s="7">
        <f>0.2*30/20</f>
        <v>0.3</v>
      </c>
      <c r="J27" s="8">
        <f>8.95*30/20</f>
        <v>13.425000000000001</v>
      </c>
    </row>
    <row r="28" spans="1:10" ht="15.75" x14ac:dyDescent="0.25">
      <c r="A28" s="104"/>
      <c r="B28" s="101"/>
      <c r="C28" s="71" t="s">
        <v>21</v>
      </c>
      <c r="D28" s="72" t="s">
        <v>36</v>
      </c>
      <c r="E28" s="73">
        <v>30</v>
      </c>
      <c r="F28" s="74">
        <f>68*0.029</f>
        <v>1.9720000000000002</v>
      </c>
      <c r="G28" s="7">
        <f>41.6*30/20</f>
        <v>62.4</v>
      </c>
      <c r="H28" s="7">
        <f>1.6*30/20</f>
        <v>2.4</v>
      </c>
      <c r="I28" s="7">
        <f>0.03*30/20</f>
        <v>4.4999999999999998E-2</v>
      </c>
      <c r="J28" s="8">
        <f>8.02*30/20</f>
        <v>12.03</v>
      </c>
    </row>
    <row r="29" spans="1:10" ht="16.5" thickBot="1" x14ac:dyDescent="0.3">
      <c r="A29" s="105"/>
      <c r="B29" s="102"/>
      <c r="C29" s="75"/>
      <c r="D29" s="76"/>
      <c r="E29" s="77"/>
      <c r="F29" s="78">
        <v>70.430000000000007</v>
      </c>
      <c r="G29" s="47">
        <f>SUM(G23:G28)</f>
        <v>723.14</v>
      </c>
      <c r="H29" s="47">
        <f>SUM(H23:H28)</f>
        <v>27.116666666666664</v>
      </c>
      <c r="I29" s="47">
        <f>SUM(I23:I28)</f>
        <v>26.195000000000004</v>
      </c>
      <c r="J29" s="54">
        <f>SUM(J23:J28)</f>
        <v>87.521666666666675</v>
      </c>
    </row>
    <row r="30" spans="1:10" ht="15.75" x14ac:dyDescent="0.25">
      <c r="A30" s="109" t="s">
        <v>23</v>
      </c>
      <c r="B30" s="106"/>
      <c r="C30" s="79">
        <v>63</v>
      </c>
      <c r="D30" s="80" t="s">
        <v>46</v>
      </c>
      <c r="E30" s="81">
        <v>200</v>
      </c>
      <c r="F30" s="66">
        <v>19.420000000000002</v>
      </c>
      <c r="G30" s="4">
        <v>106</v>
      </c>
      <c r="H30" s="4">
        <v>5.8</v>
      </c>
      <c r="I30" s="4">
        <v>5</v>
      </c>
      <c r="J30" s="5">
        <v>80</v>
      </c>
    </row>
    <row r="31" spans="1:10" ht="15.75" x14ac:dyDescent="0.25">
      <c r="A31" s="104"/>
      <c r="B31" s="107"/>
      <c r="C31" s="82">
        <v>44</v>
      </c>
      <c r="D31" s="83" t="s">
        <v>41</v>
      </c>
      <c r="E31" s="84">
        <v>155</v>
      </c>
      <c r="F31" s="70">
        <f>22.23*155/100</f>
        <v>34.456499999999998</v>
      </c>
      <c r="G31" s="11">
        <f>356.67*115/100</f>
        <v>410.1705</v>
      </c>
      <c r="H31" s="11">
        <f>10.5*115/100</f>
        <v>12.074999999999999</v>
      </c>
      <c r="I31" s="11">
        <f>10.33*115/100</f>
        <v>11.8795</v>
      </c>
      <c r="J31" s="26">
        <f>55.33*115/100</f>
        <v>63.6295</v>
      </c>
    </row>
    <row r="32" spans="1:10" ht="16.5" thickBot="1" x14ac:dyDescent="0.3">
      <c r="A32" s="105"/>
      <c r="B32" s="108"/>
      <c r="C32" s="85"/>
      <c r="D32" s="86"/>
      <c r="E32" s="87"/>
      <c r="F32" s="88">
        <v>52.81</v>
      </c>
      <c r="G32" s="49">
        <f>SUM(G30:G31)</f>
        <v>516.17049999999995</v>
      </c>
      <c r="H32" s="49">
        <f>SUM(H30:H31)</f>
        <v>17.875</v>
      </c>
      <c r="I32" s="49">
        <f>SUM(I30:I31)</f>
        <v>16.8795</v>
      </c>
      <c r="J32" s="50">
        <f>SUM(J30:J31)</f>
        <v>143.62950000000001</v>
      </c>
    </row>
    <row r="33" spans="1:13" ht="15.75" x14ac:dyDescent="0.25">
      <c r="A33" s="109" t="s">
        <v>13</v>
      </c>
      <c r="B33" s="106" t="s">
        <v>42</v>
      </c>
      <c r="C33" s="40">
        <v>4</v>
      </c>
      <c r="D33" s="41" t="s">
        <v>43</v>
      </c>
      <c r="E33" s="32" t="s">
        <v>56</v>
      </c>
      <c r="F33" s="51">
        <f>46.71*100/100</f>
        <v>46.71</v>
      </c>
      <c r="G33" s="4">
        <f>8.4*90/100</f>
        <v>7.56</v>
      </c>
      <c r="H33" s="4">
        <f>0.48*90/100</f>
        <v>0.43199999999999994</v>
      </c>
      <c r="I33" s="4">
        <f>0.06*90/100</f>
        <v>5.3999999999999992E-2</v>
      </c>
      <c r="J33" s="5">
        <f>1.5*90/100</f>
        <v>1.35</v>
      </c>
    </row>
    <row r="34" spans="1:13" ht="30" x14ac:dyDescent="0.25">
      <c r="A34" s="104"/>
      <c r="B34" s="98" t="s">
        <v>14</v>
      </c>
      <c r="C34" s="42">
        <v>22</v>
      </c>
      <c r="D34" s="43" t="s">
        <v>58</v>
      </c>
      <c r="E34" s="34" t="s">
        <v>59</v>
      </c>
      <c r="F34" s="48">
        <f>10.25*250/250+1.84</f>
        <v>12.09</v>
      </c>
      <c r="G34" s="7">
        <v>108.75</v>
      </c>
      <c r="H34" s="7">
        <v>1.72</v>
      </c>
      <c r="I34" s="7">
        <v>6.18</v>
      </c>
      <c r="J34" s="8">
        <v>11.66</v>
      </c>
    </row>
    <row r="35" spans="1:13" ht="15.75" x14ac:dyDescent="0.25">
      <c r="A35" s="104"/>
      <c r="B35" s="98" t="s">
        <v>15</v>
      </c>
      <c r="C35" s="42">
        <v>39</v>
      </c>
      <c r="D35" s="43" t="s">
        <v>44</v>
      </c>
      <c r="E35" s="34" t="s">
        <v>48</v>
      </c>
      <c r="F35" s="48">
        <f>17.68*190/180+38.63*30/40</f>
        <v>47.634722222222223</v>
      </c>
      <c r="G35" s="7">
        <v>283</v>
      </c>
      <c r="H35" s="7">
        <v>13.43</v>
      </c>
      <c r="I35" s="7">
        <v>17.52</v>
      </c>
      <c r="J35" s="8">
        <v>16.059999999999999</v>
      </c>
      <c r="M35" s="1" t="s">
        <v>32</v>
      </c>
    </row>
    <row r="36" spans="1:13" ht="15.75" x14ac:dyDescent="0.25">
      <c r="A36" s="104"/>
      <c r="B36" s="98" t="s">
        <v>24</v>
      </c>
      <c r="C36" s="94">
        <v>74</v>
      </c>
      <c r="D36" s="95" t="s">
        <v>51</v>
      </c>
      <c r="E36" s="92" t="s">
        <v>31</v>
      </c>
      <c r="F36" s="74">
        <v>11.58</v>
      </c>
      <c r="G36" s="96">
        <v>87</v>
      </c>
      <c r="H36" s="96">
        <v>1.04</v>
      </c>
      <c r="I36" s="96">
        <v>0</v>
      </c>
      <c r="J36" s="97">
        <v>20.98</v>
      </c>
    </row>
    <row r="37" spans="1:13" ht="15.75" x14ac:dyDescent="0.25">
      <c r="A37" s="104"/>
      <c r="B37" s="98" t="s">
        <v>18</v>
      </c>
      <c r="C37" s="42" t="s">
        <v>21</v>
      </c>
      <c r="D37" s="43" t="s">
        <v>25</v>
      </c>
      <c r="E37" s="34" t="s">
        <v>53</v>
      </c>
      <c r="F37" s="48">
        <f>68*0.04</f>
        <v>2.72</v>
      </c>
      <c r="G37" s="7">
        <v>83.2</v>
      </c>
      <c r="H37" s="7">
        <v>3.2</v>
      </c>
      <c r="I37" s="7">
        <v>0.06</v>
      </c>
      <c r="J37" s="8">
        <v>16.04</v>
      </c>
    </row>
    <row r="38" spans="1:13" ht="16.5" thickBot="1" x14ac:dyDescent="0.3">
      <c r="A38" s="105"/>
      <c r="B38" s="98" t="s">
        <v>16</v>
      </c>
      <c r="C38" s="42" t="s">
        <v>21</v>
      </c>
      <c r="D38" s="43" t="s">
        <v>22</v>
      </c>
      <c r="E38" s="34" t="s">
        <v>53</v>
      </c>
      <c r="F38" s="48">
        <f>46.14*0.04</f>
        <v>1.8456000000000001</v>
      </c>
      <c r="G38" s="7">
        <v>80</v>
      </c>
      <c r="H38" s="7">
        <v>1.96</v>
      </c>
      <c r="I38" s="7">
        <v>0.4</v>
      </c>
      <c r="J38" s="8">
        <v>17.920000000000002</v>
      </c>
    </row>
    <row r="39" spans="1:13" ht="16.5" thickBot="1" x14ac:dyDescent="0.3">
      <c r="A39" s="46"/>
      <c r="B39" s="27"/>
      <c r="C39" s="28"/>
      <c r="D39" s="28"/>
      <c r="E39" s="37"/>
      <c r="F39" s="53">
        <v>105.63</v>
      </c>
      <c r="G39" s="29">
        <f>SUM(G33:G38)</f>
        <v>649.51</v>
      </c>
      <c r="H39" s="29">
        <f>SUM(H33:H38)</f>
        <v>21.782</v>
      </c>
      <c r="I39" s="29">
        <f>SUM(I33:I38)</f>
        <v>24.213999999999995</v>
      </c>
      <c r="J39" s="30">
        <f>SUM(J33:J38)</f>
        <v>84.01</v>
      </c>
    </row>
    <row r="40" spans="1:13" x14ac:dyDescent="0.25">
      <c r="A40" s="20" t="s">
        <v>29</v>
      </c>
    </row>
    <row r="41" spans="1:13" x14ac:dyDescent="0.25">
      <c r="A41" s="20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 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L2" sqref="L2"/>
    </sheetView>
  </sheetViews>
  <sheetFormatPr defaultColWidth="8.875" defaultRowHeight="15" x14ac:dyDescent="0.25"/>
  <cols>
    <col min="1" max="1" width="11.25" style="21" customWidth="1"/>
    <col min="2" max="2" width="11.375" style="21" customWidth="1"/>
    <col min="3" max="3" width="6.5" style="21" customWidth="1"/>
    <col min="4" max="4" width="21.5" style="21" customWidth="1"/>
    <col min="5" max="5" width="10" style="22" customWidth="1"/>
    <col min="6" max="6" width="8.25" style="22" bestFit="1" customWidth="1"/>
    <col min="7" max="7" width="7.625" style="21" customWidth="1"/>
    <col min="8" max="8" width="6.125" style="21" bestFit="1" customWidth="1"/>
    <col min="9" max="9" width="10.875" style="21" customWidth="1"/>
    <col min="10" max="10" width="8.5" style="21" customWidth="1"/>
    <col min="11" max="16384" width="8.875" style="21"/>
  </cols>
  <sheetData>
    <row r="1" spans="1:10" ht="28.9" customHeight="1" x14ac:dyDescent="0.25">
      <c r="A1" s="21" t="s">
        <v>0</v>
      </c>
      <c r="B1" s="127" t="s">
        <v>60</v>
      </c>
      <c r="C1" s="128"/>
      <c r="D1" s="129"/>
      <c r="E1" s="22" t="s">
        <v>27</v>
      </c>
      <c r="F1" s="23"/>
      <c r="H1" s="21" t="s">
        <v>1</v>
      </c>
      <c r="I1" s="24">
        <v>44910</v>
      </c>
    </row>
    <row r="2" spans="1:10" ht="15.75" thickBot="1" x14ac:dyDescent="0.3">
      <c r="A2" s="55"/>
      <c r="B2" s="56" t="s">
        <v>30</v>
      </c>
      <c r="C2" s="55"/>
      <c r="D2" s="55"/>
      <c r="E2" s="57"/>
      <c r="F2" s="57"/>
      <c r="G2" s="55"/>
      <c r="H2" s="55"/>
      <c r="I2" s="55"/>
      <c r="J2" s="55"/>
    </row>
    <row r="3" spans="1:10" ht="30.75" thickBot="1" x14ac:dyDescent="0.3">
      <c r="A3" s="15" t="s">
        <v>2</v>
      </c>
      <c r="B3" s="16" t="s">
        <v>3</v>
      </c>
      <c r="C3" s="16" t="s">
        <v>19</v>
      </c>
      <c r="D3" s="16" t="s">
        <v>4</v>
      </c>
      <c r="E3" s="31" t="s">
        <v>20</v>
      </c>
      <c r="F3" s="31" t="s">
        <v>5</v>
      </c>
      <c r="G3" s="17" t="s">
        <v>6</v>
      </c>
      <c r="H3" s="16" t="s">
        <v>7</v>
      </c>
      <c r="I3" s="16" t="s">
        <v>8</v>
      </c>
      <c r="J3" s="18" t="s">
        <v>9</v>
      </c>
    </row>
    <row r="4" spans="1:10" s="25" customFormat="1" ht="15.75" x14ac:dyDescent="0.25">
      <c r="A4" s="111"/>
      <c r="B4" s="110" t="s">
        <v>37</v>
      </c>
      <c r="C4" s="62">
        <v>1</v>
      </c>
      <c r="D4" s="63" t="s">
        <v>50</v>
      </c>
      <c r="E4" s="64">
        <v>50</v>
      </c>
      <c r="F4" s="65">
        <f>34.11*50/75</f>
        <v>22.74</v>
      </c>
      <c r="G4" s="58">
        <f>30*50/75</f>
        <v>20</v>
      </c>
      <c r="H4" s="59">
        <f>2.33*50/75</f>
        <v>1.5533333333333332</v>
      </c>
      <c r="I4" s="59">
        <f>0.15*50/75</f>
        <v>0.1</v>
      </c>
      <c r="J4" s="60">
        <f>4.88*50/75</f>
        <v>3.2533333333333334</v>
      </c>
    </row>
    <row r="5" spans="1:10" s="25" customFormat="1" ht="15.75" x14ac:dyDescent="0.25">
      <c r="A5" s="112" t="s">
        <v>10</v>
      </c>
      <c r="B5" s="98" t="s">
        <v>11</v>
      </c>
      <c r="C5" s="71">
        <v>32</v>
      </c>
      <c r="D5" s="72" t="s">
        <v>39</v>
      </c>
      <c r="E5" s="92" t="s">
        <v>34</v>
      </c>
      <c r="F5" s="74">
        <f>33.37*25/32+9.74*125/118</f>
        <v>36.388109110169488</v>
      </c>
      <c r="G5" s="7">
        <v>313</v>
      </c>
      <c r="H5" s="7">
        <v>13.84</v>
      </c>
      <c r="I5" s="7">
        <v>13.14</v>
      </c>
      <c r="J5" s="8">
        <v>35.020000000000003</v>
      </c>
    </row>
    <row r="6" spans="1:10" ht="16.149999999999999" customHeight="1" thickBot="1" x14ac:dyDescent="0.3">
      <c r="A6" s="104"/>
      <c r="B6" s="99" t="s">
        <v>12</v>
      </c>
      <c r="C6" s="94">
        <v>74</v>
      </c>
      <c r="D6" s="95" t="s">
        <v>51</v>
      </c>
      <c r="E6" s="92" t="s">
        <v>31</v>
      </c>
      <c r="F6" s="74">
        <v>15.21</v>
      </c>
      <c r="G6" s="96">
        <v>87</v>
      </c>
      <c r="H6" s="96">
        <v>1.04</v>
      </c>
      <c r="I6" s="96">
        <v>0</v>
      </c>
      <c r="J6" s="97">
        <v>20.98</v>
      </c>
    </row>
    <row r="7" spans="1:10" ht="15.75" x14ac:dyDescent="0.25">
      <c r="A7" s="104"/>
      <c r="B7" s="110" t="s">
        <v>37</v>
      </c>
      <c r="C7" s="67" t="s">
        <v>21</v>
      </c>
      <c r="D7" s="68" t="s">
        <v>38</v>
      </c>
      <c r="E7" s="69" t="s">
        <v>52</v>
      </c>
      <c r="F7" s="70">
        <f>150*0.038*1.33</f>
        <v>7.5810000000000004</v>
      </c>
      <c r="G7" s="7">
        <v>144.74</v>
      </c>
      <c r="H7" s="7">
        <v>3.53</v>
      </c>
      <c r="I7" s="7">
        <v>9.8800000000000008</v>
      </c>
      <c r="J7" s="8">
        <v>3.53</v>
      </c>
    </row>
    <row r="8" spans="1:10" ht="15.75" x14ac:dyDescent="0.25">
      <c r="A8" s="104"/>
      <c r="B8" s="98"/>
      <c r="C8" s="71" t="s">
        <v>21</v>
      </c>
      <c r="D8" s="72" t="s">
        <v>22</v>
      </c>
      <c r="E8" s="73">
        <v>20</v>
      </c>
      <c r="F8" s="74">
        <f>55.37*0.02</f>
        <v>1.1073999999999999</v>
      </c>
      <c r="G8" s="7">
        <f>40*20/20</f>
        <v>40</v>
      </c>
      <c r="H8" s="7">
        <f>0.98*20/20</f>
        <v>0.98000000000000009</v>
      </c>
      <c r="I8" s="7">
        <f>0.2*20/20</f>
        <v>0.2</v>
      </c>
      <c r="J8" s="8">
        <f>8.95*20/20</f>
        <v>8.9499999999999993</v>
      </c>
    </row>
    <row r="9" spans="1:10" ht="15.75" x14ac:dyDescent="0.25">
      <c r="A9" s="104"/>
      <c r="B9" s="101"/>
      <c r="C9" s="71" t="s">
        <v>21</v>
      </c>
      <c r="D9" s="72" t="s">
        <v>36</v>
      </c>
      <c r="E9" s="73">
        <v>20</v>
      </c>
      <c r="F9" s="74">
        <f>81.6*0.02</f>
        <v>1.6319999999999999</v>
      </c>
      <c r="G9" s="7">
        <f>41.6*20/20</f>
        <v>41.6</v>
      </c>
      <c r="H9" s="7">
        <f>1.6*20/20</f>
        <v>1.6</v>
      </c>
      <c r="I9" s="7">
        <f>0.03*20/20</f>
        <v>0.03</v>
      </c>
      <c r="J9" s="8">
        <f>8.02*20/20</f>
        <v>8.02</v>
      </c>
    </row>
    <row r="10" spans="1:10" ht="15.6" customHeight="1" thickBot="1" x14ac:dyDescent="0.3">
      <c r="A10" s="105"/>
      <c r="B10" s="102"/>
      <c r="C10" s="75"/>
      <c r="D10" s="76"/>
      <c r="E10" s="77"/>
      <c r="F10" s="78">
        <v>84</v>
      </c>
      <c r="G10" s="47">
        <f>SUM(G4:G9)</f>
        <v>646.34</v>
      </c>
      <c r="H10" s="47">
        <f>SUM(H4:H9)</f>
        <v>22.543333333333337</v>
      </c>
      <c r="I10" s="47">
        <f>SUM(I4:I9)</f>
        <v>23.35</v>
      </c>
      <c r="J10" s="54">
        <f>SUM(J4:J9)</f>
        <v>79.75333333333333</v>
      </c>
    </row>
    <row r="11" spans="1:10" ht="15.75" x14ac:dyDescent="0.25">
      <c r="A11" s="109"/>
      <c r="B11" s="110" t="s">
        <v>37</v>
      </c>
      <c r="C11" s="62">
        <v>1</v>
      </c>
      <c r="D11" s="63" t="s">
        <v>50</v>
      </c>
      <c r="E11" s="64">
        <v>75</v>
      </c>
      <c r="F11" s="65">
        <f>34.11*75/75</f>
        <v>34.11</v>
      </c>
      <c r="G11" s="58">
        <f>30*75/75</f>
        <v>30</v>
      </c>
      <c r="H11" s="59">
        <f>2.33*75/75</f>
        <v>2.33</v>
      </c>
      <c r="I11" s="59">
        <f>0.15*75/75</f>
        <v>0.15</v>
      </c>
      <c r="J11" s="60">
        <f>4.88*75/75</f>
        <v>4.88</v>
      </c>
    </row>
    <row r="12" spans="1:10" ht="15.75" x14ac:dyDescent="0.25">
      <c r="A12" s="104"/>
      <c r="B12" s="98" t="s">
        <v>11</v>
      </c>
      <c r="C12" s="71">
        <v>32</v>
      </c>
      <c r="D12" s="72" t="s">
        <v>39</v>
      </c>
      <c r="E12" s="92" t="s">
        <v>35</v>
      </c>
      <c r="F12" s="74">
        <f>39.92*30/38+11.64*150/142</f>
        <v>43.811564121571536</v>
      </c>
      <c r="G12" s="7">
        <v>313</v>
      </c>
      <c r="H12" s="7">
        <v>13.84</v>
      </c>
      <c r="I12" s="7">
        <v>13.14</v>
      </c>
      <c r="J12" s="8">
        <v>35.020000000000003</v>
      </c>
    </row>
    <row r="13" spans="1:10" ht="15.75" x14ac:dyDescent="0.25">
      <c r="A13" s="104"/>
      <c r="B13" s="116" t="s">
        <v>12</v>
      </c>
      <c r="C13" s="94">
        <v>74</v>
      </c>
      <c r="D13" s="95" t="s">
        <v>51</v>
      </c>
      <c r="E13" s="92" t="s">
        <v>31</v>
      </c>
      <c r="F13" s="74">
        <v>15.21</v>
      </c>
      <c r="G13" s="96">
        <v>87</v>
      </c>
      <c r="H13" s="96">
        <v>1.04</v>
      </c>
      <c r="I13" s="96">
        <v>0</v>
      </c>
      <c r="J13" s="97">
        <v>20.98</v>
      </c>
    </row>
    <row r="14" spans="1:10" ht="15.75" x14ac:dyDescent="0.25">
      <c r="A14" s="104"/>
      <c r="B14" s="117" t="s">
        <v>37</v>
      </c>
      <c r="C14" s="67" t="s">
        <v>21</v>
      </c>
      <c r="D14" s="68" t="s">
        <v>38</v>
      </c>
      <c r="E14" s="69" t="s">
        <v>55</v>
      </c>
      <c r="F14" s="70">
        <f>150*0.019*1.33</f>
        <v>3.7905000000000002</v>
      </c>
      <c r="G14" s="7">
        <v>144.74</v>
      </c>
      <c r="H14" s="7">
        <v>3.53</v>
      </c>
      <c r="I14" s="7">
        <v>9.8800000000000008</v>
      </c>
      <c r="J14" s="8">
        <v>3.53</v>
      </c>
    </row>
    <row r="15" spans="1:10" ht="15.75" x14ac:dyDescent="0.25">
      <c r="A15" s="104"/>
      <c r="B15" s="98"/>
      <c r="C15" s="71" t="s">
        <v>21</v>
      </c>
      <c r="D15" s="72" t="s">
        <v>22</v>
      </c>
      <c r="E15" s="73">
        <v>22</v>
      </c>
      <c r="F15" s="74">
        <f>55.37*0.022</f>
        <v>1.2181399999999998</v>
      </c>
      <c r="G15" s="7">
        <f>40*22/20</f>
        <v>44</v>
      </c>
      <c r="H15" s="7">
        <f>0.98*22/20</f>
        <v>1.0779999999999998</v>
      </c>
      <c r="I15" s="7">
        <f>0.2*22/20</f>
        <v>0.22000000000000003</v>
      </c>
      <c r="J15" s="8">
        <f>8.95*22/20</f>
        <v>9.8449999999999989</v>
      </c>
    </row>
    <row r="16" spans="1:10" ht="15.75" x14ac:dyDescent="0.25">
      <c r="A16" s="104"/>
      <c r="B16" s="101"/>
      <c r="C16" s="71" t="s">
        <v>21</v>
      </c>
      <c r="D16" s="72" t="s">
        <v>36</v>
      </c>
      <c r="E16" s="73">
        <v>23</v>
      </c>
      <c r="F16" s="74">
        <v>1.86</v>
      </c>
      <c r="G16" s="7">
        <f>41.6*23/20</f>
        <v>47.84</v>
      </c>
      <c r="H16" s="7">
        <f>1.6*23/20</f>
        <v>1.8400000000000003</v>
      </c>
      <c r="I16" s="7">
        <f>0.03*23/20</f>
        <v>3.4499999999999996E-2</v>
      </c>
      <c r="J16" s="8">
        <f>8.02*23/20</f>
        <v>9.222999999999999</v>
      </c>
    </row>
    <row r="17" spans="1:10" ht="16.5" thickBot="1" x14ac:dyDescent="0.3">
      <c r="A17" s="114"/>
      <c r="B17" s="108"/>
      <c r="C17" s="89"/>
      <c r="D17" s="89"/>
      <c r="E17" s="90"/>
      <c r="F17" s="91">
        <f>SUM(F11:F16)</f>
        <v>100.00020412157153</v>
      </c>
      <c r="G17" s="29">
        <f>SUM(G11:G16)</f>
        <v>666.58</v>
      </c>
      <c r="H17" s="29">
        <f>SUM(H11:H16)</f>
        <v>23.658000000000001</v>
      </c>
      <c r="I17" s="29">
        <f>SUM(I11:I16)</f>
        <v>23.424500000000002</v>
      </c>
      <c r="J17" s="30">
        <f>SUM(J11:J16)</f>
        <v>83.478000000000009</v>
      </c>
    </row>
    <row r="18" spans="1:10" ht="15.75" x14ac:dyDescent="0.25">
      <c r="A18" s="3"/>
      <c r="B18" s="15" t="s">
        <v>37</v>
      </c>
      <c r="C18" s="62">
        <v>1</v>
      </c>
      <c r="D18" s="63" t="s">
        <v>50</v>
      </c>
      <c r="E18" s="64">
        <v>60</v>
      </c>
      <c r="F18" s="65">
        <f>34.11*60/75</f>
        <v>27.288</v>
      </c>
      <c r="G18" s="58">
        <f>30*75/75</f>
        <v>30</v>
      </c>
      <c r="H18" s="59">
        <f>2.33*75/75</f>
        <v>2.33</v>
      </c>
      <c r="I18" s="59">
        <f>0.15*75/75</f>
        <v>0.15</v>
      </c>
      <c r="J18" s="60">
        <f>4.88*75/75</f>
        <v>4.88</v>
      </c>
    </row>
    <row r="19" spans="1:10" ht="45" x14ac:dyDescent="0.25">
      <c r="A19" s="6"/>
      <c r="B19" s="119" t="s">
        <v>14</v>
      </c>
      <c r="C19" s="44">
        <v>22</v>
      </c>
      <c r="D19" s="45" t="s">
        <v>45</v>
      </c>
      <c r="E19" s="35" t="s">
        <v>47</v>
      </c>
      <c r="F19" s="52">
        <f>13.64*240/250+2.58+12.73</f>
        <v>28.404400000000003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 x14ac:dyDescent="0.25">
      <c r="A20" s="6"/>
      <c r="B20" s="93" t="s">
        <v>11</v>
      </c>
      <c r="C20" s="38">
        <v>32</v>
      </c>
      <c r="D20" s="39" t="s">
        <v>39</v>
      </c>
      <c r="E20" s="92" t="s">
        <v>35</v>
      </c>
      <c r="F20" s="74">
        <f>39.92*30/38+11.64*150/142</f>
        <v>43.811564121571536</v>
      </c>
      <c r="G20" s="7">
        <v>313</v>
      </c>
      <c r="H20" s="7">
        <v>13.84</v>
      </c>
      <c r="I20" s="7">
        <v>13.14</v>
      </c>
      <c r="J20" s="8">
        <v>35.020000000000003</v>
      </c>
    </row>
    <row r="21" spans="1:10" s="1" customFormat="1" ht="15.75" x14ac:dyDescent="0.25">
      <c r="A21" s="6"/>
      <c r="B21" s="120" t="s">
        <v>12</v>
      </c>
      <c r="C21" s="94">
        <v>74</v>
      </c>
      <c r="D21" s="95" t="s">
        <v>51</v>
      </c>
      <c r="E21" s="92" t="s">
        <v>31</v>
      </c>
      <c r="F21" s="74">
        <v>15.21</v>
      </c>
      <c r="G21" s="96">
        <v>87</v>
      </c>
      <c r="H21" s="96">
        <v>1.04</v>
      </c>
      <c r="I21" s="96">
        <v>0</v>
      </c>
      <c r="J21" s="97">
        <v>20.98</v>
      </c>
    </row>
    <row r="22" spans="1:10" s="1" customFormat="1" ht="15.75" x14ac:dyDescent="0.25">
      <c r="A22" s="6"/>
      <c r="B22" s="93"/>
      <c r="C22" s="38" t="s">
        <v>21</v>
      </c>
      <c r="D22" s="39" t="s">
        <v>22</v>
      </c>
      <c r="E22" s="33">
        <v>30</v>
      </c>
      <c r="F22" s="48">
        <f>55.37*0.03</f>
        <v>1.6610999999999998</v>
      </c>
      <c r="G22" s="7">
        <f>40*30/20</f>
        <v>60</v>
      </c>
      <c r="H22" s="7">
        <f>0.98*30/20</f>
        <v>1.47</v>
      </c>
      <c r="I22" s="7">
        <f>0.2*30/20</f>
        <v>0.3</v>
      </c>
      <c r="J22" s="8">
        <f>8.95*30/20</f>
        <v>13.425000000000001</v>
      </c>
    </row>
    <row r="23" spans="1:10" s="1" customFormat="1" ht="15.75" x14ac:dyDescent="0.25">
      <c r="A23" s="6"/>
      <c r="B23" s="121"/>
      <c r="C23" s="38" t="s">
        <v>21</v>
      </c>
      <c r="D23" s="39" t="s">
        <v>36</v>
      </c>
      <c r="E23" s="33">
        <v>30</v>
      </c>
      <c r="F23" s="48">
        <f>81.6*0.03</f>
        <v>2.448</v>
      </c>
      <c r="G23" s="7">
        <f>41.6*30/20</f>
        <v>62.4</v>
      </c>
      <c r="H23" s="7">
        <f>1.6*30/20</f>
        <v>2.4</v>
      </c>
      <c r="I23" s="7">
        <f>0.03*30/20</f>
        <v>4.4999999999999998E-2</v>
      </c>
      <c r="J23" s="8">
        <f>8.02*30/20</f>
        <v>12.03</v>
      </c>
    </row>
    <row r="24" spans="1:10" s="1" customFormat="1" ht="15.75" x14ac:dyDescent="0.25">
      <c r="A24" s="6"/>
      <c r="B24" s="122"/>
      <c r="C24" s="67" t="s">
        <v>21</v>
      </c>
      <c r="D24" s="68" t="s">
        <v>38</v>
      </c>
      <c r="E24" s="69" t="s">
        <v>49</v>
      </c>
      <c r="F24" s="70">
        <f>150*0.038*1.33</f>
        <v>7.5810000000000004</v>
      </c>
      <c r="G24" s="7">
        <v>144.74</v>
      </c>
      <c r="H24" s="7">
        <v>3.53</v>
      </c>
      <c r="I24" s="7">
        <v>9.8800000000000008</v>
      </c>
      <c r="J24" s="8">
        <v>3.53</v>
      </c>
    </row>
    <row r="25" spans="1:10" ht="16.5" thickBot="1" x14ac:dyDescent="0.3">
      <c r="A25" s="118"/>
      <c r="B25" s="123"/>
      <c r="C25" s="28"/>
      <c r="D25" s="28"/>
      <c r="E25" s="37"/>
      <c r="F25" s="53">
        <v>125</v>
      </c>
      <c r="G25" s="29">
        <f>SUM(G18:G24)</f>
        <v>805.89</v>
      </c>
      <c r="H25" s="29">
        <f>SUM(H18:H24)</f>
        <v>26.33</v>
      </c>
      <c r="I25" s="29">
        <f>SUM(I18:I24)</f>
        <v>29.695</v>
      </c>
      <c r="J25" s="30">
        <f>SUM(J18:J24)</f>
        <v>101.52500000000001</v>
      </c>
    </row>
    <row r="27" spans="1:10" s="1" customFormat="1" x14ac:dyDescent="0.25">
      <c r="A27" s="20" t="s">
        <v>29</v>
      </c>
      <c r="E27" s="14"/>
      <c r="F27" s="14"/>
    </row>
    <row r="28" spans="1:10" s="1" customFormat="1" x14ac:dyDescent="0.25">
      <c r="A28" s="20" t="s">
        <v>33</v>
      </c>
      <c r="E28" s="14"/>
      <c r="F28" s="14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2022-11-07T07:00:33Z</cp:lastPrinted>
  <dcterms:created xsi:type="dcterms:W3CDTF">2015-06-05T18:19:34Z</dcterms:created>
  <dcterms:modified xsi:type="dcterms:W3CDTF">2022-12-14T10:45:43Z</dcterms:modified>
</cp:coreProperties>
</file>