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DE0D0013-620C-4C8F-9A14-E7AA6AA8764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" l="1"/>
  <c r="F15" i="2"/>
  <c r="F11" i="2"/>
  <c r="F14" i="2"/>
  <c r="F24" i="2"/>
  <c r="F22" i="2"/>
  <c r="F19" i="2"/>
  <c r="F20" i="2"/>
  <c r="F12" i="2"/>
  <c r="F6" i="2"/>
  <c r="F4" i="2"/>
  <c r="F38" i="1"/>
  <c r="F32" i="1"/>
  <c r="F35" i="1"/>
  <c r="F33" i="1"/>
  <c r="F27" i="1"/>
  <c r="F23" i="1"/>
  <c r="F19" i="1"/>
  <c r="F16" i="1"/>
  <c r="F13" i="1"/>
  <c r="F14" i="1"/>
  <c r="F6" i="1"/>
  <c r="F7" i="1"/>
  <c r="F4" i="1"/>
  <c r="F18" i="2"/>
  <c r="J22" i="2"/>
  <c r="I22" i="2"/>
  <c r="H22" i="2"/>
  <c r="G22" i="2"/>
  <c r="F7" i="2"/>
  <c r="J14" i="2"/>
  <c r="I14" i="2"/>
  <c r="H14" i="2"/>
  <c r="G14" i="2"/>
  <c r="G7" i="2"/>
  <c r="H7" i="2"/>
  <c r="I7" i="2"/>
  <c r="J7" i="2"/>
  <c r="F39" i="1" l="1"/>
  <c r="F25" i="2"/>
  <c r="F25" i="1" l="1"/>
  <c r="G9" i="1"/>
  <c r="J30" i="1"/>
  <c r="I30" i="1"/>
  <c r="H30" i="1"/>
  <c r="G30" i="1"/>
  <c r="F30" i="1"/>
  <c r="J11" i="1"/>
  <c r="I11" i="1"/>
  <c r="H11" i="1"/>
  <c r="G11" i="1"/>
  <c r="F28" i="1" l="1"/>
  <c r="F20" i="1"/>
  <c r="F9" i="1"/>
  <c r="J24" i="2"/>
  <c r="I24" i="2"/>
  <c r="H24" i="2"/>
  <c r="G24" i="2"/>
  <c r="J23" i="2"/>
  <c r="I23" i="2"/>
  <c r="H23" i="2"/>
  <c r="G23" i="2"/>
  <c r="J16" i="2"/>
  <c r="I16" i="2"/>
  <c r="H16" i="2"/>
  <c r="G16" i="2"/>
  <c r="J15" i="2"/>
  <c r="I15" i="2"/>
  <c r="H15" i="2"/>
  <c r="G15" i="2"/>
  <c r="F10" i="2"/>
  <c r="J9" i="2"/>
  <c r="I9" i="2"/>
  <c r="H9" i="2"/>
  <c r="G9" i="2"/>
  <c r="J8" i="2"/>
  <c r="I8" i="2"/>
  <c r="H8" i="2"/>
  <c r="G8" i="2"/>
  <c r="J6" i="2"/>
  <c r="I6" i="2"/>
  <c r="H6" i="2"/>
  <c r="G6" i="2"/>
  <c r="J38" i="1"/>
  <c r="I38" i="1"/>
  <c r="H38" i="1"/>
  <c r="G38" i="1"/>
  <c r="J37" i="1"/>
  <c r="J39" i="1" s="1"/>
  <c r="I37" i="1"/>
  <c r="H37" i="1"/>
  <c r="H39" i="1" s="1"/>
  <c r="G37" i="1"/>
  <c r="G39" i="1" s="1"/>
  <c r="I32" i="1"/>
  <c r="H32" i="1"/>
  <c r="G32" i="1"/>
  <c r="I31" i="1"/>
  <c r="H31" i="1"/>
  <c r="G31" i="1"/>
  <c r="J31" i="1"/>
  <c r="J28" i="1"/>
  <c r="I28" i="1"/>
  <c r="J25" i="1"/>
  <c r="I25" i="1"/>
  <c r="H25" i="1"/>
  <c r="H28" i="1" s="1"/>
  <c r="G25" i="1"/>
  <c r="G28" i="1" s="1"/>
  <c r="H20" i="1"/>
  <c r="J19" i="1"/>
  <c r="I19" i="1"/>
  <c r="H19" i="1"/>
  <c r="G19" i="1"/>
  <c r="J18" i="1"/>
  <c r="I18" i="1"/>
  <c r="H18" i="1"/>
  <c r="G18" i="1"/>
  <c r="I13" i="1"/>
  <c r="H13" i="1"/>
  <c r="G13" i="1"/>
  <c r="J12" i="1"/>
  <c r="I12" i="1"/>
  <c r="H12" i="1"/>
  <c r="G12" i="1"/>
  <c r="H9" i="1"/>
  <c r="J9" i="1"/>
  <c r="I9" i="1"/>
  <c r="I20" i="1" l="1"/>
  <c r="J20" i="1"/>
  <c r="G17" i="2"/>
  <c r="G20" i="1"/>
  <c r="I39" i="1"/>
  <c r="G10" i="2"/>
  <c r="F17" i="2"/>
  <c r="H17" i="2"/>
  <c r="H10" i="2"/>
  <c r="J25" i="2"/>
  <c r="I10" i="2"/>
  <c r="I17" i="2"/>
  <c r="J10" i="2"/>
  <c r="J17" i="2"/>
  <c r="H25" i="2"/>
  <c r="G25" i="2"/>
  <c r="I25" i="2"/>
</calcChain>
</file>

<file path=xl/sharedStrings.xml><?xml version="1.0" encoding="utf-8"?>
<sst xmlns="http://schemas.openxmlformats.org/spreadsheetml/2006/main" count="185" uniqueCount="69">
  <si>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</si>
  <si>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</si>
  <si>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</si>
  <si>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</si>
  <si>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</si>
  <si>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</si>
  <si>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</si>
  <si>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</si>
  <si>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</si>
  <si>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</si>
  <si>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</si>
  <si>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</si>
  <si>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</si>
  <si>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</si>
  <si>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</si>
  <si>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</si>
  <si>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</si>
  <si>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</si>
  <si>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</si>
  <si>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</si>
  <si>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</si>
  <si>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</si>
  <si>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</si>
  <si>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</si>
  <si>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</si>
  <si>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</si>
  <si>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</si>
  <si>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</si>
  <si>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</si>
  <si>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</si>
  <si>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</si>
  <si>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</si>
  <si>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</si>
  <si>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</si>
  <si>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</si>
  <si>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</si>
  <si>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</si>
  <si>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</si>
  <si>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</si>
  <si>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</si>
  <si>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</si>
  <si>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</si>
  <si>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</si>
  <si>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Котлеты мясная</t>
  </si>
  <si>
    <t xml:space="preserve">1 блюдо </t>
  </si>
  <si>
    <t>добавка</t>
  </si>
  <si>
    <t>Зав.производством ____________________</t>
  </si>
  <si>
    <t>Калькулятор___________________________</t>
  </si>
  <si>
    <t>30</t>
  </si>
  <si>
    <t>100</t>
  </si>
  <si>
    <t>Чай с лимоном</t>
  </si>
  <si>
    <t>Сок</t>
  </si>
  <si>
    <t>Пицца школьная</t>
  </si>
  <si>
    <t>Конфета "35"</t>
  </si>
  <si>
    <t>42</t>
  </si>
  <si>
    <t>Огурец соленый</t>
  </si>
  <si>
    <t>Творожное печенье</t>
  </si>
  <si>
    <t>19</t>
  </si>
  <si>
    <t>165/35</t>
  </si>
  <si>
    <t>хлеб чер.</t>
  </si>
  <si>
    <t>45</t>
  </si>
  <si>
    <t>20</t>
  </si>
  <si>
    <t>28</t>
  </si>
  <si>
    <t>150</t>
  </si>
  <si>
    <t>26</t>
  </si>
  <si>
    <t>25</t>
  </si>
  <si>
    <t>75</t>
  </si>
  <si>
    <t>27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</si>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</sst>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ill="1"/>
    <xf numFmtId="0" fontId="1" fillId="0" borderId="0" xfId="0" applyFont="1" applyFill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0" fontId="5" fillId="0" borderId="0" xfId="0" applyFont="1" applyFill="1"/>
    <xf numFmtId="0" fontId="0" fillId="0" borderId="5" xfId="0" applyBorder="1"/>
    <xf numFmtId="0" fontId="0" fillId="0" borderId="6" xfId="0" applyBorder="1"/>
    <xf numFmtId="49" fontId="5" fillId="0" borderId="6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8" xfId="0" applyBorder="1"/>
    <xf numFmtId="0" fontId="3" fillId="0" borderId="4" xfId="0" applyFont="1" applyBorder="1"/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4" xfId="0" applyFont="1" applyBorder="1"/>
    <xf numFmtId="0" fontId="0" fillId="0" borderId="1" xfId="0" applyBorder="1"/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5" fillId="0" borderId="22" xfId="0" applyNumberFormat="1" applyFont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2" fontId="0" fillId="0" borderId="23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0" fillId="0" borderId="20" xfId="0" applyBorder="1"/>
    <xf numFmtId="0" fontId="0" fillId="0" borderId="17" xfId="0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0" fillId="0" borderId="14" xfId="0" applyBorder="1"/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0" fillId="0" borderId="17" xfId="0" applyNumberFormat="1" applyBorder="1"/>
    <xf numFmtId="2" fontId="0" fillId="0" borderId="18" xfId="0" applyNumberFormat="1" applyBorder="1"/>
    <xf numFmtId="0" fontId="3" fillId="0" borderId="1" xfId="0" applyFont="1" applyBorder="1" applyAlignment="1">
      <alignment vertical="center"/>
    </xf>
    <xf numFmtId="0" fontId="3" fillId="0" borderId="26" xfId="0" applyFont="1" applyBorder="1"/>
    <xf numFmtId="0" fontId="3" fillId="0" borderId="1" xfId="0" applyFont="1" applyBorder="1"/>
    <xf numFmtId="2" fontId="3" fillId="0" borderId="1" xfId="0" applyNumberFormat="1" applyFont="1" applyBorder="1"/>
    <xf numFmtId="2" fontId="3" fillId="0" borderId="9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17" xfId="0" applyFont="1" applyBorder="1"/>
    <xf numFmtId="0" fontId="7" fillId="0" borderId="17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/>
    <xf numFmtId="2" fontId="3" fillId="0" borderId="18" xfId="0" applyNumberFormat="1" applyFont="1" applyBorder="1"/>
    <xf numFmtId="0" fontId="3" fillId="0" borderId="25" xfId="0" applyFont="1" applyBorder="1"/>
    <xf numFmtId="0" fontId="6" fillId="0" borderId="1" xfId="0" applyFont="1" applyBorder="1" applyAlignment="1">
      <alignment wrapText="1"/>
    </xf>
    <xf numFmtId="2" fontId="7" fillId="0" borderId="17" xfId="0" applyNumberFormat="1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2" fontId="7" fillId="0" borderId="17" xfId="0" applyNumberFormat="1" applyFont="1" applyBorder="1" applyAlignment="1">
      <alignment horizontal="right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2" fontId="5" fillId="0" borderId="6" xfId="0" applyNumberFormat="1" applyFont="1" applyBorder="1" applyProtection="1">
      <protection locked="0"/>
    </xf>
    <xf numFmtId="2" fontId="5" fillId="0" borderId="1" xfId="0" applyNumberFormat="1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3" fillId="0" borderId="10" xfId="0" applyFont="1" applyBorder="1"/>
    <xf numFmtId="0" fontId="6" fillId="0" borderId="33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wrapText="1"/>
      <protection locked="0"/>
    </xf>
    <xf numFmtId="2" fontId="0" fillId="0" borderId="33" xfId="0" applyNumberFormat="1" applyBorder="1" applyProtection="1">
      <protection locked="0"/>
    </xf>
    <xf numFmtId="2" fontId="0" fillId="0" borderId="34" xfId="0" applyNumberFormat="1" applyBorder="1" applyProtection="1">
      <protection locked="0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3" fillId="0" borderId="30" xfId="0" applyFont="1" applyFill="1" applyBorder="1"/>
    <xf numFmtId="0" fontId="3" fillId="0" borderId="31" xfId="0" applyFont="1" applyFill="1" applyBorder="1"/>
    <xf numFmtId="0" fontId="3" fillId="0" borderId="32" xfId="0" applyFont="1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1"/>
  <sheetViews>
    <sheetView zoomScaleNormal="100" workbookViewId="0">
      <selection activeCell="M2" sqref="M2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5" bestFit="1" customWidth="1"/>
    <col min="6" max="6" width="8.28515625" style="5" bestFit="1" customWidth="1"/>
    <col min="7" max="7" width="7.7109375" style="1" customWidth="1"/>
    <col min="8" max="8" width="6.140625" style="1" bestFit="1" customWidth="1"/>
    <col min="9" max="9" width="14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31" t="s">
        <v>68</v>
      </c>
      <c r="C1" s="132"/>
      <c r="D1" s="133"/>
      <c r="E1" s="5" t="s">
        <v>28</v>
      </c>
      <c r="F1" s="4"/>
      <c r="H1" s="1" t="s">
        <v>1</v>
      </c>
      <c r="I1" s="3">
        <v>44876</v>
      </c>
    </row>
    <row r="2" spans="1:10" ht="15.75" thickBot="1" x14ac:dyDescent="0.3">
      <c r="B2" s="2" t="s">
        <v>27</v>
      </c>
    </row>
    <row r="3" spans="1:10" s="6" customFormat="1" ht="30.75" thickBot="1" x14ac:dyDescent="0.3">
      <c r="A3" s="106" t="s">
        <v>2</v>
      </c>
      <c r="B3" s="107" t="s">
        <v>3</v>
      </c>
      <c r="C3" s="107" t="s">
        <v>20</v>
      </c>
      <c r="D3" s="107" t="s">
        <v>4</v>
      </c>
      <c r="E3" s="108" t="s">
        <v>21</v>
      </c>
      <c r="F3" s="108" t="s">
        <v>5</v>
      </c>
      <c r="G3" s="109" t="s">
        <v>6</v>
      </c>
      <c r="H3" s="107" t="s">
        <v>7</v>
      </c>
      <c r="I3" s="107" t="s">
        <v>8</v>
      </c>
      <c r="J3" s="110" t="s">
        <v>9</v>
      </c>
    </row>
    <row r="4" spans="1:10" ht="30" x14ac:dyDescent="0.25">
      <c r="A4" s="24" t="s">
        <v>10</v>
      </c>
      <c r="B4" s="52" t="s">
        <v>11</v>
      </c>
      <c r="C4" s="26">
        <v>72</v>
      </c>
      <c r="D4" s="27" t="s">
        <v>37</v>
      </c>
      <c r="E4" s="28" t="s">
        <v>58</v>
      </c>
      <c r="F4" s="29">
        <f>6.76*165/150+56.59*35/50</f>
        <v>47.048999999999999</v>
      </c>
      <c r="G4" s="56">
        <v>294</v>
      </c>
      <c r="H4" s="56">
        <v>14.86</v>
      </c>
      <c r="I4" s="56">
        <v>16.579999999999998</v>
      </c>
      <c r="J4" s="57">
        <v>22.8</v>
      </c>
    </row>
    <row r="5" spans="1:10" ht="15.75" x14ac:dyDescent="0.25">
      <c r="A5" s="24"/>
      <c r="B5" s="25" t="s">
        <v>12</v>
      </c>
      <c r="C5" s="53">
        <v>30</v>
      </c>
      <c r="D5" s="54" t="s">
        <v>50</v>
      </c>
      <c r="E5" s="55">
        <v>200</v>
      </c>
      <c r="F5" s="29">
        <v>2.82</v>
      </c>
      <c r="G5" s="56">
        <v>43</v>
      </c>
      <c r="H5" s="56">
        <v>0.06</v>
      </c>
      <c r="I5" s="56">
        <v>0.01</v>
      </c>
      <c r="J5" s="57">
        <v>10.220000000000001</v>
      </c>
    </row>
    <row r="6" spans="1:10" ht="15.75" x14ac:dyDescent="0.25">
      <c r="A6" s="24"/>
      <c r="B6" s="32" t="s">
        <v>45</v>
      </c>
      <c r="C6" s="26" t="s">
        <v>22</v>
      </c>
      <c r="D6" s="27" t="s">
        <v>53</v>
      </c>
      <c r="E6" s="28" t="s">
        <v>61</v>
      </c>
      <c r="F6" s="29">
        <f>422.4*0.02</f>
        <v>8.4480000000000004</v>
      </c>
      <c r="G6" s="30">
        <v>190.76</v>
      </c>
      <c r="H6" s="30">
        <v>3.22</v>
      </c>
      <c r="I6" s="30">
        <v>4.2</v>
      </c>
      <c r="J6" s="31">
        <v>35.020000000000003</v>
      </c>
    </row>
    <row r="7" spans="1:10" ht="15.75" x14ac:dyDescent="0.25">
      <c r="A7" s="24"/>
      <c r="B7" s="33"/>
      <c r="C7" s="34" t="s">
        <v>22</v>
      </c>
      <c r="D7" s="35" t="s">
        <v>23</v>
      </c>
      <c r="E7" s="36">
        <v>21</v>
      </c>
      <c r="F7" s="37">
        <f>46.14*0.02</f>
        <v>0.92280000000000006</v>
      </c>
      <c r="G7" s="30">
        <v>40</v>
      </c>
      <c r="H7" s="30">
        <v>0.98</v>
      </c>
      <c r="I7" s="30">
        <v>0.2</v>
      </c>
      <c r="J7" s="31">
        <v>8.9499999999999993</v>
      </c>
    </row>
    <row r="8" spans="1:10" ht="15.75" x14ac:dyDescent="0.25">
      <c r="A8" s="24"/>
      <c r="B8" s="38"/>
      <c r="C8" s="34" t="s">
        <v>22</v>
      </c>
      <c r="D8" s="35" t="s">
        <v>36</v>
      </c>
      <c r="E8" s="36">
        <v>22</v>
      </c>
      <c r="F8" s="37">
        <v>1.33</v>
      </c>
      <c r="G8" s="30">
        <v>41.6</v>
      </c>
      <c r="H8" s="30">
        <v>1.6</v>
      </c>
      <c r="I8" s="30">
        <v>0.03</v>
      </c>
      <c r="J8" s="31">
        <v>8.02</v>
      </c>
    </row>
    <row r="9" spans="1:10" ht="16.5" thickBot="1" x14ac:dyDescent="0.3">
      <c r="A9" s="39"/>
      <c r="B9" s="40"/>
      <c r="C9" s="41"/>
      <c r="D9" s="42"/>
      <c r="E9" s="43"/>
      <c r="F9" s="44">
        <f>SUM(F4:F8)</f>
        <v>60.569800000000001</v>
      </c>
      <c r="G9" s="45">
        <f>SUM(G4:G8)</f>
        <v>609.36</v>
      </c>
      <c r="H9" s="45">
        <f>SUM(H4:H8)</f>
        <v>20.720000000000002</v>
      </c>
      <c r="I9" s="45">
        <f>SUM(I4:I8)</f>
        <v>21.02</v>
      </c>
      <c r="J9" s="46">
        <f>SUM(J4:J8)</f>
        <v>85.01</v>
      </c>
    </row>
    <row r="10" spans="1:10" ht="15.75" x14ac:dyDescent="0.25">
      <c r="A10" s="18" t="s">
        <v>24</v>
      </c>
      <c r="B10" s="19"/>
      <c r="C10" s="47">
        <v>25</v>
      </c>
      <c r="D10" s="48" t="s">
        <v>51</v>
      </c>
      <c r="E10" s="49">
        <v>200</v>
      </c>
      <c r="F10" s="111">
        <v>11.82</v>
      </c>
      <c r="G10" s="50">
        <v>136</v>
      </c>
      <c r="H10" s="50">
        <v>0.6</v>
      </c>
      <c r="I10" s="50">
        <v>0</v>
      </c>
      <c r="J10" s="51">
        <v>33</v>
      </c>
    </row>
    <row r="11" spans="1:10" ht="15.75" x14ac:dyDescent="0.25">
      <c r="A11" s="24"/>
      <c r="B11" s="52"/>
      <c r="C11" s="66">
        <v>76</v>
      </c>
      <c r="D11" s="67" t="s">
        <v>52</v>
      </c>
      <c r="E11" s="36">
        <v>100</v>
      </c>
      <c r="F11" s="112">
        <v>34.81</v>
      </c>
      <c r="G11" s="30">
        <f>245*1.05</f>
        <v>257.25</v>
      </c>
      <c r="H11" s="30">
        <f>12.45*1.05</f>
        <v>13.0725</v>
      </c>
      <c r="I11" s="30">
        <f>8.59*1.05</f>
        <v>9.0195000000000007</v>
      </c>
      <c r="J11" s="31">
        <f>6.33*1.05</f>
        <v>6.6465000000000005</v>
      </c>
    </row>
    <row r="12" spans="1:10" ht="16.5" thickBot="1" x14ac:dyDescent="0.3">
      <c r="A12" s="58"/>
      <c r="B12" s="59"/>
      <c r="C12" s="60"/>
      <c r="D12" s="61"/>
      <c r="E12" s="62"/>
      <c r="F12" s="63">
        <v>45.43</v>
      </c>
      <c r="G12" s="64">
        <f>SUM(G10:G11)</f>
        <v>393.25</v>
      </c>
      <c r="H12" s="64">
        <f>SUM(H10:H11)</f>
        <v>13.672499999999999</v>
      </c>
      <c r="I12" s="64">
        <f>SUM(I10:I11)</f>
        <v>9.0195000000000007</v>
      </c>
      <c r="J12" s="65">
        <f>SUM(J10:J11)</f>
        <v>39.646500000000003</v>
      </c>
    </row>
    <row r="13" spans="1:10" ht="15.75" x14ac:dyDescent="0.25">
      <c r="A13" s="18" t="s">
        <v>13</v>
      </c>
      <c r="B13" s="19" t="s">
        <v>14</v>
      </c>
      <c r="C13" s="47">
        <v>54</v>
      </c>
      <c r="D13" s="48" t="s">
        <v>38</v>
      </c>
      <c r="E13" s="20" t="s">
        <v>48</v>
      </c>
      <c r="F13" s="21">
        <f>12.08*30/60</f>
        <v>6.04</v>
      </c>
      <c r="G13" s="50">
        <f>75*45/60</f>
        <v>56.25</v>
      </c>
      <c r="H13" s="50">
        <f>0.5*45/60</f>
        <v>0.375</v>
      </c>
      <c r="I13" s="50">
        <f>5.1*45/60</f>
        <v>3.8249999999999997</v>
      </c>
      <c r="J13" s="51">
        <v>9.6</v>
      </c>
    </row>
    <row r="14" spans="1:10" ht="30" x14ac:dyDescent="0.25">
      <c r="A14" s="24"/>
      <c r="B14" s="33" t="s">
        <v>15</v>
      </c>
      <c r="C14" s="66">
        <v>33</v>
      </c>
      <c r="D14" s="67" t="s">
        <v>39</v>
      </c>
      <c r="E14" s="68" t="s">
        <v>42</v>
      </c>
      <c r="F14" s="37">
        <f>10.41*250/250+1.84</f>
        <v>12.25</v>
      </c>
      <c r="G14" s="30">
        <v>108.75</v>
      </c>
      <c r="H14" s="30">
        <v>1.72</v>
      </c>
      <c r="I14" s="30">
        <v>6.18</v>
      </c>
      <c r="J14" s="31">
        <v>11.66</v>
      </c>
    </row>
    <row r="15" spans="1:10" ht="15.75" x14ac:dyDescent="0.25">
      <c r="A15" s="24"/>
      <c r="B15" s="33" t="s">
        <v>16</v>
      </c>
      <c r="C15" s="66">
        <v>58</v>
      </c>
      <c r="D15" s="67" t="s">
        <v>43</v>
      </c>
      <c r="E15" s="68" t="s">
        <v>34</v>
      </c>
      <c r="F15" s="37">
        <v>45.22</v>
      </c>
      <c r="G15" s="30">
        <v>257.39999999999998</v>
      </c>
      <c r="H15" s="30">
        <v>16.02</v>
      </c>
      <c r="I15" s="30">
        <v>15.75</v>
      </c>
      <c r="J15" s="31">
        <v>12.87</v>
      </c>
    </row>
    <row r="16" spans="1:10" ht="15.75" x14ac:dyDescent="0.25">
      <c r="A16" s="24"/>
      <c r="B16" s="33" t="s">
        <v>35</v>
      </c>
      <c r="C16" s="66">
        <v>7</v>
      </c>
      <c r="D16" s="67" t="s">
        <v>40</v>
      </c>
      <c r="E16" s="68" t="s">
        <v>63</v>
      </c>
      <c r="F16" s="37">
        <f>20.77*150/180</f>
        <v>17.308333333333334</v>
      </c>
      <c r="G16" s="30">
        <v>159.12</v>
      </c>
      <c r="H16" s="30">
        <v>3.74</v>
      </c>
      <c r="I16" s="30">
        <v>6.12</v>
      </c>
      <c r="J16" s="31">
        <v>22.28</v>
      </c>
    </row>
    <row r="17" spans="1:10" ht="15.75" x14ac:dyDescent="0.25">
      <c r="A17" s="24"/>
      <c r="B17" s="33" t="s">
        <v>25</v>
      </c>
      <c r="C17" s="66">
        <v>35</v>
      </c>
      <c r="D17" s="67" t="s">
        <v>41</v>
      </c>
      <c r="E17" s="68">
        <v>200</v>
      </c>
      <c r="F17" s="37">
        <v>7.17</v>
      </c>
      <c r="G17" s="30">
        <v>97</v>
      </c>
      <c r="H17" s="30">
        <v>0.68</v>
      </c>
      <c r="I17" s="30">
        <v>0.28000000000000003</v>
      </c>
      <c r="J17" s="31">
        <v>19.64</v>
      </c>
    </row>
    <row r="18" spans="1:10" ht="15.75" x14ac:dyDescent="0.25">
      <c r="A18" s="24"/>
      <c r="B18" s="33" t="s">
        <v>19</v>
      </c>
      <c r="C18" s="66" t="s">
        <v>22</v>
      </c>
      <c r="D18" s="67" t="s">
        <v>26</v>
      </c>
      <c r="E18" s="68" t="s">
        <v>64</v>
      </c>
      <c r="F18" s="37">
        <v>1.73</v>
      </c>
      <c r="G18" s="30">
        <f>62.4*37/30</f>
        <v>76.959999999999994</v>
      </c>
      <c r="H18" s="30">
        <f>2.4*37/30</f>
        <v>2.96</v>
      </c>
      <c r="I18" s="30">
        <f>0.45*37/30</f>
        <v>0.55500000000000005</v>
      </c>
      <c r="J18" s="31">
        <f>11.37*37/30</f>
        <v>14.023</v>
      </c>
    </row>
    <row r="19" spans="1:10" ht="15.75" x14ac:dyDescent="0.25">
      <c r="A19" s="24"/>
      <c r="B19" s="69" t="s">
        <v>17</v>
      </c>
      <c r="C19" s="70" t="s">
        <v>22</v>
      </c>
      <c r="D19" s="71" t="s">
        <v>23</v>
      </c>
      <c r="E19" s="72" t="s">
        <v>65</v>
      </c>
      <c r="F19" s="73">
        <f>46.14*0.025</f>
        <v>1.1535</v>
      </c>
      <c r="G19" s="74">
        <f>60*36/30</f>
        <v>72</v>
      </c>
      <c r="H19" s="74">
        <f>1.47*36/30</f>
        <v>1.764</v>
      </c>
      <c r="I19" s="74">
        <f>0.3*36/30</f>
        <v>0.36</v>
      </c>
      <c r="J19" s="75">
        <f>13.44*36/30</f>
        <v>16.128</v>
      </c>
    </row>
    <row r="20" spans="1:10" ht="16.5" thickBot="1" x14ac:dyDescent="0.3">
      <c r="A20" s="76"/>
      <c r="B20" s="59"/>
      <c r="C20" s="77"/>
      <c r="D20" s="77"/>
      <c r="E20" s="78"/>
      <c r="F20" s="79">
        <f>SUM(F13:F19)</f>
        <v>90.871833333333328</v>
      </c>
      <c r="G20" s="80">
        <f>SUM(G13:G19)</f>
        <v>827.48</v>
      </c>
      <c r="H20" s="80">
        <f>SUM(H13:H19)</f>
        <v>27.258999999999997</v>
      </c>
      <c r="I20" s="80">
        <f>SUM(I13:I19)</f>
        <v>33.07</v>
      </c>
      <c r="J20" s="81">
        <f>SUM(J13:J19)</f>
        <v>106.20099999999999</v>
      </c>
    </row>
    <row r="21" spans="1:10" ht="16.5" thickBot="1" x14ac:dyDescent="0.3">
      <c r="B21" s="2" t="s">
        <v>29</v>
      </c>
      <c r="E21" s="13"/>
      <c r="F21" s="13"/>
    </row>
    <row r="22" spans="1:10" ht="30.75" thickBot="1" x14ac:dyDescent="0.3">
      <c r="A22" s="106" t="s">
        <v>2</v>
      </c>
      <c r="B22" s="107" t="s">
        <v>3</v>
      </c>
      <c r="C22" s="107" t="s">
        <v>20</v>
      </c>
      <c r="D22" s="107" t="s">
        <v>4</v>
      </c>
      <c r="E22" s="108" t="s">
        <v>21</v>
      </c>
      <c r="F22" s="108" t="s">
        <v>5</v>
      </c>
      <c r="G22" s="109" t="s">
        <v>6</v>
      </c>
      <c r="H22" s="107" t="s">
        <v>7</v>
      </c>
      <c r="I22" s="107" t="s">
        <v>8</v>
      </c>
      <c r="J22" s="110" t="s">
        <v>9</v>
      </c>
    </row>
    <row r="23" spans="1:10" ht="30" x14ac:dyDescent="0.25">
      <c r="A23" s="24" t="s">
        <v>10</v>
      </c>
      <c r="B23" s="52" t="s">
        <v>11</v>
      </c>
      <c r="C23" s="118">
        <v>72</v>
      </c>
      <c r="D23" s="119" t="s">
        <v>37</v>
      </c>
      <c r="E23" s="28" t="s">
        <v>58</v>
      </c>
      <c r="F23" s="29">
        <f>6.76*165/150+56.59*35/50</f>
        <v>47.048999999999999</v>
      </c>
      <c r="G23" s="120">
        <v>294</v>
      </c>
      <c r="H23" s="120">
        <v>14.68</v>
      </c>
      <c r="I23" s="120">
        <v>16.579999999999998</v>
      </c>
      <c r="J23" s="121">
        <v>22.8</v>
      </c>
    </row>
    <row r="24" spans="1:10" ht="15.75" x14ac:dyDescent="0.25">
      <c r="A24" s="24"/>
      <c r="B24" s="25" t="s">
        <v>12</v>
      </c>
      <c r="C24" s="66">
        <v>30</v>
      </c>
      <c r="D24" s="67" t="s">
        <v>50</v>
      </c>
      <c r="E24" s="36">
        <v>200</v>
      </c>
      <c r="F24" s="37">
        <v>2.82</v>
      </c>
      <c r="G24" s="30">
        <v>43</v>
      </c>
      <c r="H24" s="30">
        <v>0.06</v>
      </c>
      <c r="I24" s="30">
        <v>0.01</v>
      </c>
      <c r="J24" s="31">
        <v>10.220000000000001</v>
      </c>
    </row>
    <row r="25" spans="1:10" ht="15.75" x14ac:dyDescent="0.25">
      <c r="A25" s="24"/>
      <c r="B25" s="32" t="s">
        <v>18</v>
      </c>
      <c r="C25" s="26" t="s">
        <v>22</v>
      </c>
      <c r="D25" s="27" t="s">
        <v>53</v>
      </c>
      <c r="E25" s="28" t="s">
        <v>54</v>
      </c>
      <c r="F25" s="29">
        <f>422.4*0.042</f>
        <v>17.7408</v>
      </c>
      <c r="G25" s="30">
        <f>286.14*40/60</f>
        <v>190.75999999999996</v>
      </c>
      <c r="H25" s="30">
        <f>4.83*40/60</f>
        <v>3.2199999999999998</v>
      </c>
      <c r="I25" s="30">
        <f>6.3*40/60</f>
        <v>4.2</v>
      </c>
      <c r="J25" s="31">
        <f>52.53*40/60</f>
        <v>35.019999999999996</v>
      </c>
    </row>
    <row r="26" spans="1:10" ht="15.75" x14ac:dyDescent="0.25">
      <c r="A26" s="24"/>
      <c r="B26" s="33"/>
      <c r="C26" s="34" t="s">
        <v>22</v>
      </c>
      <c r="D26" s="35" t="s">
        <v>23</v>
      </c>
      <c r="E26" s="36">
        <v>25</v>
      </c>
      <c r="F26" s="37">
        <v>1.1200000000000001</v>
      </c>
      <c r="G26" s="30">
        <v>60</v>
      </c>
      <c r="H26" s="30">
        <v>1.47</v>
      </c>
      <c r="I26" s="30">
        <v>0.3</v>
      </c>
      <c r="J26" s="31">
        <v>13.44</v>
      </c>
    </row>
    <row r="27" spans="1:10" ht="15.75" x14ac:dyDescent="0.25">
      <c r="A27" s="24"/>
      <c r="B27" s="38"/>
      <c r="C27" s="34" t="s">
        <v>22</v>
      </c>
      <c r="D27" s="35" t="s">
        <v>36</v>
      </c>
      <c r="E27" s="36">
        <v>25</v>
      </c>
      <c r="F27" s="37">
        <f>68*0.025</f>
        <v>1.7000000000000002</v>
      </c>
      <c r="G27" s="30">
        <v>62.4</v>
      </c>
      <c r="H27" s="30">
        <v>2.4</v>
      </c>
      <c r="I27" s="30">
        <v>0.05</v>
      </c>
      <c r="J27" s="31">
        <v>12.03</v>
      </c>
    </row>
    <row r="28" spans="1:10" ht="16.5" thickBot="1" x14ac:dyDescent="0.3">
      <c r="A28" s="39"/>
      <c r="B28" s="40"/>
      <c r="C28" s="41"/>
      <c r="D28" s="42"/>
      <c r="E28" s="43"/>
      <c r="F28" s="44">
        <f>SUM(F23:F27)</f>
        <v>70.429800000000014</v>
      </c>
      <c r="G28" s="45">
        <f>SUM(G23:G27)</f>
        <v>650.16</v>
      </c>
      <c r="H28" s="45">
        <f>SUM(H23:H27)</f>
        <v>21.83</v>
      </c>
      <c r="I28" s="45">
        <f>SUM(I23:I27)</f>
        <v>21.14</v>
      </c>
      <c r="J28" s="46">
        <f>SUM(J23:J27)</f>
        <v>93.509999999999991</v>
      </c>
    </row>
    <row r="29" spans="1:10" ht="15.75" x14ac:dyDescent="0.25">
      <c r="A29" s="18" t="s">
        <v>24</v>
      </c>
      <c r="B29" s="19"/>
      <c r="C29" s="47">
        <v>25</v>
      </c>
      <c r="D29" s="48" t="s">
        <v>51</v>
      </c>
      <c r="E29" s="49">
        <v>200</v>
      </c>
      <c r="F29" s="111">
        <v>11.82</v>
      </c>
      <c r="G29" s="50">
        <v>136</v>
      </c>
      <c r="H29" s="50">
        <v>0.6</v>
      </c>
      <c r="I29" s="50">
        <v>0</v>
      </c>
      <c r="J29" s="51">
        <v>33</v>
      </c>
    </row>
    <row r="30" spans="1:10" ht="15.75" x14ac:dyDescent="0.25">
      <c r="A30" s="24"/>
      <c r="B30" s="52"/>
      <c r="C30" s="66">
        <v>76</v>
      </c>
      <c r="D30" s="67" t="s">
        <v>52</v>
      </c>
      <c r="E30" s="36">
        <v>120</v>
      </c>
      <c r="F30" s="112">
        <f>34.81*120/100</f>
        <v>41.772000000000006</v>
      </c>
      <c r="G30" s="30">
        <f>245*1.25</f>
        <v>306.25</v>
      </c>
      <c r="H30" s="30">
        <f>12.45*1.25</f>
        <v>15.5625</v>
      </c>
      <c r="I30" s="30">
        <f>8.59*1.25</f>
        <v>10.737500000000001</v>
      </c>
      <c r="J30" s="31">
        <f>6.33*1.25</f>
        <v>7.9124999999999996</v>
      </c>
    </row>
    <row r="31" spans="1:10" ht="16.5" thickBot="1" x14ac:dyDescent="0.3">
      <c r="A31" s="58"/>
      <c r="B31" s="59"/>
      <c r="C31" s="60"/>
      <c r="D31" s="61"/>
      <c r="E31" s="62"/>
      <c r="F31" s="63">
        <v>52.81</v>
      </c>
      <c r="G31" s="64">
        <f>SUM(G29:G30)</f>
        <v>442.25</v>
      </c>
      <c r="H31" s="64">
        <f>SUM(H29:H30)</f>
        <v>16.162500000000001</v>
      </c>
      <c r="I31" s="64">
        <f>SUM(I29:I30)</f>
        <v>10.737500000000001</v>
      </c>
      <c r="J31" s="65">
        <f>SUM(J29:J30)</f>
        <v>40.912500000000001</v>
      </c>
    </row>
    <row r="32" spans="1:10" ht="15.75" x14ac:dyDescent="0.25">
      <c r="A32" s="18" t="s">
        <v>13</v>
      </c>
      <c r="B32" s="19" t="s">
        <v>14</v>
      </c>
      <c r="C32" s="47">
        <v>54</v>
      </c>
      <c r="D32" s="48" t="s">
        <v>38</v>
      </c>
      <c r="E32" s="20" t="s">
        <v>66</v>
      </c>
      <c r="F32" s="21">
        <f>20.08*75/100</f>
        <v>15.059999999999997</v>
      </c>
      <c r="G32" s="50">
        <f>125*80/100</f>
        <v>100</v>
      </c>
      <c r="H32" s="50">
        <f>0.83*80/100</f>
        <v>0.66399999999999992</v>
      </c>
      <c r="I32" s="50">
        <f>8.5*80/100</f>
        <v>6.8</v>
      </c>
      <c r="J32" s="51">
        <v>0</v>
      </c>
    </row>
    <row r="33" spans="1:13" ht="30" x14ac:dyDescent="0.25">
      <c r="A33" s="24"/>
      <c r="B33" s="33" t="s">
        <v>15</v>
      </c>
      <c r="C33" s="66">
        <v>33</v>
      </c>
      <c r="D33" s="67" t="s">
        <v>39</v>
      </c>
      <c r="E33" s="68" t="s">
        <v>42</v>
      </c>
      <c r="F33" s="37">
        <f>10.41*250/250+1.84</f>
        <v>12.25</v>
      </c>
      <c r="G33" s="30">
        <v>108.75</v>
      </c>
      <c r="H33" s="30">
        <v>1.72</v>
      </c>
      <c r="I33" s="30">
        <v>6.18</v>
      </c>
      <c r="J33" s="31">
        <v>11.66</v>
      </c>
    </row>
    <row r="34" spans="1:13" ht="15.75" x14ac:dyDescent="0.25">
      <c r="A34" s="24"/>
      <c r="B34" s="33" t="s">
        <v>16</v>
      </c>
      <c r="C34" s="66">
        <v>58</v>
      </c>
      <c r="D34" s="67" t="s">
        <v>43</v>
      </c>
      <c r="E34" s="68" t="s">
        <v>49</v>
      </c>
      <c r="F34" s="37">
        <v>50.73</v>
      </c>
      <c r="G34" s="30">
        <v>286</v>
      </c>
      <c r="H34" s="30">
        <v>17.8</v>
      </c>
      <c r="I34" s="30">
        <v>17.5</v>
      </c>
      <c r="J34" s="31">
        <v>14.3</v>
      </c>
    </row>
    <row r="35" spans="1:13" ht="15.75" x14ac:dyDescent="0.25">
      <c r="A35" s="24"/>
      <c r="B35" s="33" t="s">
        <v>35</v>
      </c>
      <c r="C35" s="66">
        <v>7</v>
      </c>
      <c r="D35" s="67" t="s">
        <v>40</v>
      </c>
      <c r="E35" s="68" t="s">
        <v>63</v>
      </c>
      <c r="F35" s="37">
        <f>20.77*150/180</f>
        <v>17.308333333333334</v>
      </c>
      <c r="G35" s="30">
        <v>159.12</v>
      </c>
      <c r="H35" s="30">
        <v>3.74</v>
      </c>
      <c r="I35" s="30">
        <v>6.12</v>
      </c>
      <c r="J35" s="31">
        <v>22.28</v>
      </c>
      <c r="M35" s="1" t="s">
        <v>32</v>
      </c>
    </row>
    <row r="36" spans="1:13" ht="15.75" x14ac:dyDescent="0.25">
      <c r="A36" s="24"/>
      <c r="B36" s="33" t="s">
        <v>25</v>
      </c>
      <c r="C36" s="66">
        <v>35</v>
      </c>
      <c r="D36" s="67" t="s">
        <v>41</v>
      </c>
      <c r="E36" s="68">
        <v>200</v>
      </c>
      <c r="F36" s="37">
        <v>7.17</v>
      </c>
      <c r="G36" s="30">
        <v>97</v>
      </c>
      <c r="H36" s="30">
        <v>0.68</v>
      </c>
      <c r="I36" s="30">
        <v>0.28000000000000003</v>
      </c>
      <c r="J36" s="31">
        <v>19.64</v>
      </c>
    </row>
    <row r="37" spans="1:13" ht="15.75" x14ac:dyDescent="0.25">
      <c r="A37" s="24"/>
      <c r="B37" s="33" t="s">
        <v>19</v>
      </c>
      <c r="C37" s="66" t="s">
        <v>22</v>
      </c>
      <c r="D37" s="67" t="s">
        <v>26</v>
      </c>
      <c r="E37" s="68" t="s">
        <v>62</v>
      </c>
      <c r="F37" s="37">
        <v>1.87</v>
      </c>
      <c r="G37" s="30">
        <f>62.4*43/30</f>
        <v>89.44</v>
      </c>
      <c r="H37" s="30">
        <f>2.4*43/30</f>
        <v>3.44</v>
      </c>
      <c r="I37" s="30">
        <f>0.45*43/30</f>
        <v>0.64500000000000002</v>
      </c>
      <c r="J37" s="31">
        <f>11.37*43/30</f>
        <v>16.297000000000001</v>
      </c>
    </row>
    <row r="38" spans="1:13" ht="15.75" x14ac:dyDescent="0.25">
      <c r="A38" s="24"/>
      <c r="B38" s="69" t="s">
        <v>17</v>
      </c>
      <c r="C38" s="70" t="s">
        <v>22</v>
      </c>
      <c r="D38" s="71" t="s">
        <v>23</v>
      </c>
      <c r="E38" s="72" t="s">
        <v>67</v>
      </c>
      <c r="F38" s="73">
        <f>46.14*0.027</f>
        <v>1.2457800000000001</v>
      </c>
      <c r="G38" s="74">
        <f>60*41/30</f>
        <v>82</v>
      </c>
      <c r="H38" s="74">
        <f>1.47*41/30</f>
        <v>2.0089999999999999</v>
      </c>
      <c r="I38" s="74">
        <f>0.3*41/30</f>
        <v>0.41</v>
      </c>
      <c r="J38" s="75">
        <f>13.44*41/30</f>
        <v>18.367999999999999</v>
      </c>
    </row>
    <row r="39" spans="1:13" ht="16.5" thickBot="1" x14ac:dyDescent="0.3">
      <c r="A39" s="76"/>
      <c r="B39" s="59"/>
      <c r="C39" s="77"/>
      <c r="D39" s="77"/>
      <c r="E39" s="78"/>
      <c r="F39" s="79">
        <f>SUM(F32:F38)</f>
        <v>105.63411333333333</v>
      </c>
      <c r="G39" s="80">
        <f>SUM(G32:G38)</f>
        <v>922.31</v>
      </c>
      <c r="H39" s="80">
        <f>SUM(H32:H38)</f>
        <v>30.053000000000001</v>
      </c>
      <c r="I39" s="80">
        <f>SUM(I32:I38)</f>
        <v>37.935000000000002</v>
      </c>
      <c r="J39" s="81">
        <f>SUM(J32:J38)</f>
        <v>102.54499999999999</v>
      </c>
    </row>
    <row r="40" spans="1:13" x14ac:dyDescent="0.25">
      <c r="A40" s="7" t="s">
        <v>30</v>
      </c>
    </row>
    <row r="41" spans="1:13" x14ac:dyDescent="0.25">
      <c r="A41" s="7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G18 F9 F25 F4 F16 F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abSelected="1" workbookViewId="0">
      <selection activeCell="K1" sqref="K1"/>
    </sheetView>
  </sheetViews>
  <sheetFormatPr defaultColWidth="8.85546875" defaultRowHeight="15" x14ac:dyDescent="0.25"/>
  <cols>
    <col min="1" max="1" width="11.7109375" style="8" bestFit="1" customWidth="1"/>
    <col min="2" max="2" width="11.5703125" style="8" customWidth="1"/>
    <col min="3" max="3" width="7.140625" style="8" bestFit="1" customWidth="1"/>
    <col min="4" max="4" width="24.7109375" style="8" customWidth="1"/>
    <col min="5" max="5" width="9.7109375" style="9" customWidth="1"/>
    <col min="6" max="6" width="7.140625" style="9" bestFit="1" customWidth="1"/>
    <col min="7" max="7" width="7.7109375" style="8" customWidth="1"/>
    <col min="8" max="8" width="6.140625" style="8" bestFit="1" customWidth="1"/>
    <col min="9" max="9" width="10.42578125" style="8" customWidth="1"/>
    <col min="10" max="10" width="8.85546875" style="8" customWidth="1"/>
    <col min="11" max="16384" width="8.85546875" style="8"/>
  </cols>
  <sheetData>
    <row r="1" spans="1:10" ht="28.9" customHeight="1" x14ac:dyDescent="0.25">
      <c r="A1" s="8" t="s">
        <v>0</v>
      </c>
      <c r="B1" s="134" t="s">
        <v>68</v>
      </c>
      <c r="C1" s="135"/>
      <c r="D1" s="136"/>
      <c r="E1" s="9" t="s">
        <v>28</v>
      </c>
      <c r="F1" s="10"/>
      <c r="H1" s="8" t="s">
        <v>1</v>
      </c>
      <c r="I1" s="11">
        <v>44876</v>
      </c>
    </row>
    <row r="2" spans="1:10" ht="15.75" thickBot="1" x14ac:dyDescent="0.3">
      <c r="A2" s="14"/>
      <c r="B2" s="15" t="s">
        <v>31</v>
      </c>
      <c r="C2" s="14"/>
      <c r="D2" s="14"/>
      <c r="E2" s="16"/>
      <c r="F2" s="16"/>
      <c r="G2" s="14"/>
      <c r="H2" s="14"/>
      <c r="I2" s="14"/>
      <c r="J2" s="14"/>
    </row>
    <row r="3" spans="1:10" ht="15.75" thickBot="1" x14ac:dyDescent="0.3">
      <c r="A3" s="128" t="s">
        <v>2</v>
      </c>
      <c r="B3" s="129" t="s">
        <v>3</v>
      </c>
      <c r="C3" s="129" t="s">
        <v>20</v>
      </c>
      <c r="D3" s="129" t="s">
        <v>4</v>
      </c>
      <c r="E3" s="129" t="s">
        <v>21</v>
      </c>
      <c r="F3" s="129" t="s">
        <v>5</v>
      </c>
      <c r="G3" s="129" t="s">
        <v>6</v>
      </c>
      <c r="H3" s="129" t="s">
        <v>7</v>
      </c>
      <c r="I3" s="129" t="s">
        <v>8</v>
      </c>
      <c r="J3" s="130" t="s">
        <v>9</v>
      </c>
    </row>
    <row r="4" spans="1:10" s="12" customFormat="1" ht="30" x14ac:dyDescent="0.25">
      <c r="A4" s="137" t="s">
        <v>10</v>
      </c>
      <c r="B4" s="122" t="s">
        <v>11</v>
      </c>
      <c r="C4" s="123">
        <v>72</v>
      </c>
      <c r="D4" s="124" t="s">
        <v>37</v>
      </c>
      <c r="E4" s="125" t="s">
        <v>58</v>
      </c>
      <c r="F4" s="125">
        <f>8.99*165/150+75.27*35/50</f>
        <v>62.577999999999996</v>
      </c>
      <c r="G4" s="126">
        <v>294</v>
      </c>
      <c r="H4" s="126">
        <v>14.86</v>
      </c>
      <c r="I4" s="126">
        <v>16.579999999999998</v>
      </c>
      <c r="J4" s="127">
        <v>22.8</v>
      </c>
    </row>
    <row r="5" spans="1:10" s="12" customFormat="1" ht="15.75" x14ac:dyDescent="0.25">
      <c r="A5" s="138"/>
      <c r="B5" s="82" t="s">
        <v>12</v>
      </c>
      <c r="C5" s="53">
        <v>30</v>
      </c>
      <c r="D5" s="54" t="s">
        <v>50</v>
      </c>
      <c r="E5" s="55">
        <v>200</v>
      </c>
      <c r="F5" s="29">
        <v>3.75</v>
      </c>
      <c r="G5" s="56">
        <v>43</v>
      </c>
      <c r="H5" s="56">
        <v>0.06</v>
      </c>
      <c r="I5" s="56">
        <v>0.01</v>
      </c>
      <c r="J5" s="57">
        <v>10.220000000000001</v>
      </c>
    </row>
    <row r="6" spans="1:10" ht="14.45" customHeight="1" x14ac:dyDescent="0.25">
      <c r="A6" s="83"/>
      <c r="B6" s="84" t="s">
        <v>45</v>
      </c>
      <c r="C6" s="26" t="s">
        <v>22</v>
      </c>
      <c r="D6" s="27" t="s">
        <v>53</v>
      </c>
      <c r="E6" s="28" t="s">
        <v>61</v>
      </c>
      <c r="F6" s="29">
        <f>422.4*0.02*1.3</f>
        <v>10.9824</v>
      </c>
      <c r="G6" s="85">
        <f>190.76*20/60</f>
        <v>63.586666666666666</v>
      </c>
      <c r="H6" s="85">
        <f>3.22*20/60</f>
        <v>1.0733333333333335</v>
      </c>
      <c r="I6" s="85">
        <f>4.2*20/60</f>
        <v>1.4</v>
      </c>
      <c r="J6" s="86">
        <f>35.02*20/60</f>
        <v>11.673333333333336</v>
      </c>
    </row>
    <row r="7" spans="1:10" ht="14.45" customHeight="1" x14ac:dyDescent="0.25">
      <c r="A7" s="83"/>
      <c r="B7" s="84" t="s">
        <v>45</v>
      </c>
      <c r="C7" s="26" t="s">
        <v>22</v>
      </c>
      <c r="D7" s="27" t="s">
        <v>56</v>
      </c>
      <c r="E7" s="28" t="s">
        <v>57</v>
      </c>
      <c r="F7" s="29">
        <f>150*1.33*0.019</f>
        <v>3.7904999999999998</v>
      </c>
      <c r="G7" s="85">
        <f>190.76*20/60</f>
        <v>63.586666666666666</v>
      </c>
      <c r="H7" s="85">
        <f>3.22*20/60</f>
        <v>1.0733333333333335</v>
      </c>
      <c r="I7" s="85">
        <f>4.2*20/60</f>
        <v>1.4</v>
      </c>
      <c r="J7" s="86">
        <f>35.02*20/60</f>
        <v>11.673333333333336</v>
      </c>
    </row>
    <row r="8" spans="1:10" ht="15.75" x14ac:dyDescent="0.25">
      <c r="A8" s="83"/>
      <c r="B8" s="84" t="s">
        <v>59</v>
      </c>
      <c r="C8" s="87" t="s">
        <v>22</v>
      </c>
      <c r="D8" s="88" t="s">
        <v>23</v>
      </c>
      <c r="E8" s="89">
        <v>21</v>
      </c>
      <c r="F8" s="90">
        <v>1.1399999999999999</v>
      </c>
      <c r="G8" s="85">
        <f>40*21/20</f>
        <v>42</v>
      </c>
      <c r="H8" s="85">
        <f>0.98*21/20</f>
        <v>1.0289999999999999</v>
      </c>
      <c r="I8" s="85">
        <f>0.2*21/20</f>
        <v>0.21000000000000002</v>
      </c>
      <c r="J8" s="86">
        <f>8.95*21/20</f>
        <v>9.3974999999999991</v>
      </c>
    </row>
    <row r="9" spans="1:10" ht="15.75" x14ac:dyDescent="0.25">
      <c r="A9" s="83"/>
      <c r="B9" s="84" t="s">
        <v>19</v>
      </c>
      <c r="C9" s="87" t="s">
        <v>22</v>
      </c>
      <c r="D9" s="88" t="s">
        <v>36</v>
      </c>
      <c r="E9" s="89">
        <v>22</v>
      </c>
      <c r="F9" s="90">
        <v>1.76</v>
      </c>
      <c r="G9" s="85">
        <f>41.6*22/20</f>
        <v>45.760000000000005</v>
      </c>
      <c r="H9" s="85">
        <f>1.6*22/20</f>
        <v>1.7600000000000002</v>
      </c>
      <c r="I9" s="85">
        <f>0.03*22/20</f>
        <v>3.2999999999999995E-2</v>
      </c>
      <c r="J9" s="86">
        <f>8.02*22/20</f>
        <v>8.8219999999999992</v>
      </c>
    </row>
    <row r="10" spans="1:10" ht="16.5" thickBot="1" x14ac:dyDescent="0.3">
      <c r="A10" s="91"/>
      <c r="B10" s="92"/>
      <c r="C10" s="93"/>
      <c r="D10" s="94"/>
      <c r="E10" s="95"/>
      <c r="F10" s="96">
        <f>SUM(F4:F9)</f>
        <v>84.000900000000001</v>
      </c>
      <c r="G10" s="97">
        <f>SUM(G4:G9)</f>
        <v>551.93333333333328</v>
      </c>
      <c r="H10" s="97">
        <f>SUM(H4:H9)</f>
        <v>19.855666666666668</v>
      </c>
      <c r="I10" s="97">
        <f>SUM(I4:I9)</f>
        <v>19.632999999999999</v>
      </c>
      <c r="J10" s="98">
        <f>SUM(J4:J9)</f>
        <v>74.586166666666671</v>
      </c>
    </row>
    <row r="11" spans="1:10" ht="15.6" customHeight="1" x14ac:dyDescent="0.25">
      <c r="A11" s="99"/>
      <c r="B11" s="19" t="s">
        <v>14</v>
      </c>
      <c r="C11" s="47">
        <v>4</v>
      </c>
      <c r="D11" s="48" t="s">
        <v>55</v>
      </c>
      <c r="E11" s="20" t="s">
        <v>48</v>
      </c>
      <c r="F11" s="29">
        <f>62.12*0.3</f>
        <v>18.635999999999999</v>
      </c>
      <c r="G11" s="50">
        <v>24</v>
      </c>
      <c r="H11" s="50">
        <v>1.1000000000000001</v>
      </c>
      <c r="I11" s="50">
        <v>0.2</v>
      </c>
      <c r="J11" s="51">
        <v>3.8</v>
      </c>
    </row>
    <row r="12" spans="1:10" ht="30" x14ac:dyDescent="0.25">
      <c r="A12" s="83"/>
      <c r="B12" s="84" t="s">
        <v>11</v>
      </c>
      <c r="C12" s="87">
        <v>72</v>
      </c>
      <c r="D12" s="124" t="s">
        <v>37</v>
      </c>
      <c r="E12" s="125" t="s">
        <v>58</v>
      </c>
      <c r="F12" s="125">
        <f>8.99*165/150+75.27*35/50</f>
        <v>62.577999999999996</v>
      </c>
      <c r="G12" s="85">
        <v>108.75</v>
      </c>
      <c r="H12" s="85">
        <v>1.72</v>
      </c>
      <c r="I12" s="85">
        <v>6.18</v>
      </c>
      <c r="J12" s="86">
        <v>11.66</v>
      </c>
    </row>
    <row r="13" spans="1:10" ht="15.75" x14ac:dyDescent="0.25">
      <c r="A13" s="83"/>
      <c r="B13" s="84" t="s">
        <v>25</v>
      </c>
      <c r="C13" s="53">
        <v>30</v>
      </c>
      <c r="D13" s="54" t="s">
        <v>50</v>
      </c>
      <c r="E13" s="55">
        <v>200</v>
      </c>
      <c r="F13" s="29">
        <v>3.75</v>
      </c>
      <c r="G13" s="56">
        <v>43</v>
      </c>
      <c r="H13" s="56">
        <v>0.06</v>
      </c>
      <c r="I13" s="56">
        <v>0.01</v>
      </c>
      <c r="J13" s="57">
        <v>10.220000000000001</v>
      </c>
    </row>
    <row r="14" spans="1:10" ht="15.75" x14ac:dyDescent="0.25">
      <c r="A14" s="83"/>
      <c r="B14" s="84" t="s">
        <v>45</v>
      </c>
      <c r="C14" s="26" t="s">
        <v>22</v>
      </c>
      <c r="D14" s="27" t="s">
        <v>53</v>
      </c>
      <c r="E14" s="28" t="s">
        <v>61</v>
      </c>
      <c r="F14" s="29">
        <f>422.4*0.02*1.3</f>
        <v>10.9824</v>
      </c>
      <c r="G14" s="85">
        <f>190.76*20/60</f>
        <v>63.586666666666666</v>
      </c>
      <c r="H14" s="85">
        <f>3.22*20/60</f>
        <v>1.0733333333333335</v>
      </c>
      <c r="I14" s="85">
        <f>4.2*20/60</f>
        <v>1.4</v>
      </c>
      <c r="J14" s="86">
        <f>35.02*20/60</f>
        <v>11.673333333333336</v>
      </c>
    </row>
    <row r="15" spans="1:10" ht="15.75" x14ac:dyDescent="0.25">
      <c r="A15" s="83"/>
      <c r="B15" s="84" t="s">
        <v>19</v>
      </c>
      <c r="C15" s="87" t="s">
        <v>22</v>
      </c>
      <c r="D15" s="88" t="s">
        <v>26</v>
      </c>
      <c r="E15" s="89">
        <v>30</v>
      </c>
      <c r="F15" s="90">
        <f>81.6*0.03</f>
        <v>2.448</v>
      </c>
      <c r="G15" s="85">
        <f>41.6</f>
        <v>41.6</v>
      </c>
      <c r="H15" s="85">
        <f>1.6*22/20</f>
        <v>1.7600000000000002</v>
      </c>
      <c r="I15" s="85">
        <f>0.03</f>
        <v>0.03</v>
      </c>
      <c r="J15" s="86">
        <f>8.02</f>
        <v>8.02</v>
      </c>
    </row>
    <row r="16" spans="1:10" ht="15.75" x14ac:dyDescent="0.25">
      <c r="A16" s="83"/>
      <c r="B16" s="84" t="s">
        <v>17</v>
      </c>
      <c r="C16" s="87" t="s">
        <v>22</v>
      </c>
      <c r="D16" s="88" t="s">
        <v>23</v>
      </c>
      <c r="E16" s="89">
        <v>29</v>
      </c>
      <c r="F16" s="90">
        <f>55.37*0.029</f>
        <v>1.6057300000000001</v>
      </c>
      <c r="G16" s="85">
        <f>40</f>
        <v>40</v>
      </c>
      <c r="H16" s="85">
        <f>0.98</f>
        <v>0.98</v>
      </c>
      <c r="I16" s="85">
        <f>0.2</f>
        <v>0.2</v>
      </c>
      <c r="J16" s="86">
        <f>8.95</f>
        <v>8.9499999999999993</v>
      </c>
    </row>
    <row r="17" spans="1:10" ht="16.5" thickBot="1" x14ac:dyDescent="0.3">
      <c r="A17" s="91"/>
      <c r="B17" s="92"/>
      <c r="C17" s="93"/>
      <c r="D17" s="94"/>
      <c r="E17" s="95"/>
      <c r="F17" s="101">
        <f>SUM(F11:F16)</f>
        <v>100.00012999999998</v>
      </c>
      <c r="G17" s="97">
        <f>SUM(G11:G16)</f>
        <v>320.93666666666667</v>
      </c>
      <c r="H17" s="97">
        <f>SUM(H11:H16)</f>
        <v>6.6933333333333351</v>
      </c>
      <c r="I17" s="97">
        <f>SUM(I11:I16)</f>
        <v>8.02</v>
      </c>
      <c r="J17" s="98">
        <f>SUM(J11:J16)</f>
        <v>54.323333333333338</v>
      </c>
    </row>
    <row r="18" spans="1:10" ht="15.75" x14ac:dyDescent="0.25">
      <c r="A18" s="117"/>
      <c r="B18" s="19" t="s">
        <v>14</v>
      </c>
      <c r="C18" s="113">
        <v>4</v>
      </c>
      <c r="D18" s="114" t="s">
        <v>55</v>
      </c>
      <c r="E18" s="115" t="s">
        <v>60</v>
      </c>
      <c r="F18" s="111">
        <f>37.27*45/60</f>
        <v>27.952500000000001</v>
      </c>
      <c r="G18" s="22">
        <v>24</v>
      </c>
      <c r="H18" s="22">
        <v>1.1000000000000001</v>
      </c>
      <c r="I18" s="22">
        <v>0.2</v>
      </c>
      <c r="J18" s="23">
        <v>3.8</v>
      </c>
    </row>
    <row r="19" spans="1:10" ht="30" x14ac:dyDescent="0.25">
      <c r="A19" s="83"/>
      <c r="B19" s="84" t="s">
        <v>44</v>
      </c>
      <c r="C19" s="87">
        <v>33</v>
      </c>
      <c r="D19" s="67" t="s">
        <v>39</v>
      </c>
      <c r="E19" s="68" t="s">
        <v>42</v>
      </c>
      <c r="F19" s="116">
        <f>13.84*250/250+2.45</f>
        <v>16.29</v>
      </c>
      <c r="G19" s="30">
        <v>108.75</v>
      </c>
      <c r="H19" s="30">
        <v>1.72</v>
      </c>
      <c r="I19" s="30">
        <v>6.18</v>
      </c>
      <c r="J19" s="31">
        <v>11.66</v>
      </c>
    </row>
    <row r="20" spans="1:10" ht="30" x14ac:dyDescent="0.25">
      <c r="A20" s="83"/>
      <c r="B20" s="84" t="s">
        <v>11</v>
      </c>
      <c r="C20" s="87">
        <v>72</v>
      </c>
      <c r="D20" s="100" t="s">
        <v>37</v>
      </c>
      <c r="E20" s="125" t="s">
        <v>58</v>
      </c>
      <c r="F20" s="125">
        <f>8.99*165/150+75.27*35/50</f>
        <v>62.577999999999996</v>
      </c>
      <c r="G20" s="85">
        <v>108.75</v>
      </c>
      <c r="H20" s="85">
        <v>1.72</v>
      </c>
      <c r="I20" s="85">
        <v>6.18</v>
      </c>
      <c r="J20" s="86">
        <v>11.66</v>
      </c>
    </row>
    <row r="21" spans="1:10" ht="15.75" x14ac:dyDescent="0.25">
      <c r="A21" s="83"/>
      <c r="B21" s="84" t="s">
        <v>25</v>
      </c>
      <c r="C21" s="53">
        <v>30</v>
      </c>
      <c r="D21" s="54" t="s">
        <v>50</v>
      </c>
      <c r="E21" s="55">
        <v>200</v>
      </c>
      <c r="F21" s="29">
        <v>3.75</v>
      </c>
      <c r="G21" s="56">
        <v>43</v>
      </c>
      <c r="H21" s="56">
        <v>0.06</v>
      </c>
      <c r="I21" s="56">
        <v>0.01</v>
      </c>
      <c r="J21" s="57">
        <v>10.220000000000001</v>
      </c>
    </row>
    <row r="22" spans="1:10" ht="15.75" x14ac:dyDescent="0.25">
      <c r="A22" s="83"/>
      <c r="B22" s="84" t="s">
        <v>45</v>
      </c>
      <c r="C22" s="26" t="s">
        <v>22</v>
      </c>
      <c r="D22" s="27" t="s">
        <v>53</v>
      </c>
      <c r="E22" s="28" t="s">
        <v>61</v>
      </c>
      <c r="F22" s="29">
        <f>422.4*0.02*1.3</f>
        <v>10.9824</v>
      </c>
      <c r="G22" s="85">
        <f>190.76*20/60</f>
        <v>63.586666666666666</v>
      </c>
      <c r="H22" s="85">
        <f>3.22*20/60</f>
        <v>1.0733333333333335</v>
      </c>
      <c r="I22" s="85">
        <f>4.2*20/60</f>
        <v>1.4</v>
      </c>
      <c r="J22" s="86">
        <f>35.02*20/60</f>
        <v>11.673333333333336</v>
      </c>
    </row>
    <row r="23" spans="1:10" ht="15.75" x14ac:dyDescent="0.25">
      <c r="A23" s="83"/>
      <c r="B23" s="84" t="s">
        <v>19</v>
      </c>
      <c r="C23" s="87" t="s">
        <v>22</v>
      </c>
      <c r="D23" s="88" t="s">
        <v>26</v>
      </c>
      <c r="E23" s="89">
        <v>26</v>
      </c>
      <c r="F23" s="90">
        <v>2.06</v>
      </c>
      <c r="G23" s="85">
        <f>41.6*36/20</f>
        <v>74.88000000000001</v>
      </c>
      <c r="H23" s="85">
        <f>1.6*36/20</f>
        <v>2.88</v>
      </c>
      <c r="I23" s="85">
        <f>0.03*36/20</f>
        <v>5.4000000000000006E-2</v>
      </c>
      <c r="J23" s="86">
        <f>8.02*36/20</f>
        <v>14.435999999999998</v>
      </c>
    </row>
    <row r="24" spans="1:10" ht="15.75" x14ac:dyDescent="0.25">
      <c r="A24" s="83"/>
      <c r="B24" s="84" t="s">
        <v>17</v>
      </c>
      <c r="C24" s="87" t="s">
        <v>22</v>
      </c>
      <c r="D24" s="88" t="s">
        <v>23</v>
      </c>
      <c r="E24" s="89">
        <v>25</v>
      </c>
      <c r="F24" s="90">
        <f>55.37*0.025</f>
        <v>1.38425</v>
      </c>
      <c r="G24" s="85">
        <f>40*35/20</f>
        <v>70</v>
      </c>
      <c r="H24" s="85">
        <f>0.98*35/20</f>
        <v>1.7149999999999999</v>
      </c>
      <c r="I24" s="85">
        <f>0.2*35/20</f>
        <v>0.35</v>
      </c>
      <c r="J24" s="86">
        <f>8.95*35/20</f>
        <v>15.6625</v>
      </c>
    </row>
    <row r="25" spans="1:10" ht="16.5" thickBot="1" x14ac:dyDescent="0.3">
      <c r="A25" s="102"/>
      <c r="B25" s="103"/>
      <c r="C25" s="103"/>
      <c r="D25" s="103"/>
      <c r="E25" s="104"/>
      <c r="F25" s="105">
        <f>SUM(F18:F24)</f>
        <v>124.99714999999999</v>
      </c>
      <c r="G25" s="97">
        <f>SUM(G19:G24)</f>
        <v>468.96666666666664</v>
      </c>
      <c r="H25" s="97">
        <f>SUM(H19:H24)</f>
        <v>9.168333333333333</v>
      </c>
      <c r="I25" s="97">
        <f>SUM(I19:I24)</f>
        <v>14.173999999999999</v>
      </c>
      <c r="J25" s="98">
        <f>SUM(J19:J24)</f>
        <v>75.31183333333334</v>
      </c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s="1" customFormat="1" ht="15.6" customHeight="1" x14ac:dyDescent="0.25">
      <c r="A27" s="8"/>
      <c r="B27" s="8"/>
      <c r="C27" s="8"/>
      <c r="D27" s="8"/>
      <c r="E27" s="9"/>
      <c r="F27" s="9"/>
      <c r="G27" s="8"/>
      <c r="H27" s="8"/>
      <c r="I27" s="8"/>
      <c r="J27" s="8"/>
    </row>
    <row r="28" spans="1:10" s="1" customFormat="1" ht="15.75" x14ac:dyDescent="0.25">
      <c r="A28" s="17" t="s">
        <v>46</v>
      </c>
      <c r="B28" s="17"/>
      <c r="C28" s="17"/>
      <c r="D28" s="17"/>
      <c r="E28" s="9"/>
      <c r="F28" s="9"/>
      <c r="G28" s="8"/>
      <c r="H28" s="8"/>
      <c r="I28" s="8"/>
      <c r="J28" s="8"/>
    </row>
    <row r="29" spans="1:10" s="1" customFormat="1" ht="15.75" x14ac:dyDescent="0.25">
      <c r="A29" s="17" t="s">
        <v>47</v>
      </c>
      <c r="B29" s="17"/>
      <c r="C29" s="17"/>
      <c r="D29" s="17"/>
      <c r="E29" s="9"/>
      <c r="F29" s="9"/>
      <c r="G29" s="8"/>
      <c r="H29" s="8"/>
      <c r="I29" s="8"/>
      <c r="J29" s="8"/>
    </row>
    <row r="30" spans="1:10" s="1" customFormat="1" x14ac:dyDescent="0.25">
      <c r="A30" s="8"/>
      <c r="B30" s="8"/>
      <c r="C30" s="8"/>
      <c r="D30" s="8"/>
      <c r="E30" s="9"/>
      <c r="F30" s="9"/>
      <c r="G30" s="8"/>
      <c r="H30" s="8"/>
      <c r="I30" s="8"/>
      <c r="J30" s="8"/>
    </row>
    <row r="31" spans="1:10" s="1" customFormat="1" x14ac:dyDescent="0.25">
      <c r="A31" s="8"/>
      <c r="B31" s="8"/>
      <c r="C31" s="8"/>
      <c r="D31" s="8"/>
      <c r="E31" s="9"/>
      <c r="F31" s="9"/>
      <c r="G31" s="8"/>
      <c r="H31" s="8"/>
      <c r="I31" s="8"/>
      <c r="J31" s="8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2022-03-28T01:05:02Z</cp:lastPrinted>
  <dcterms:created xsi:type="dcterms:W3CDTF">2015-06-05T18:19:34Z</dcterms:created>
  <dcterms:modified xsi:type="dcterms:W3CDTF">2022-11-10T10:08:18Z</dcterms:modified>
</cp:coreProperties>
</file>