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меню\"/>
    </mc:Choice>
  </mc:AlternateContent>
  <bookViews>
    <workbookView xWindow="0" yWindow="0" windowWidth="23040" windowHeight="8616"/>
  </bookViews>
  <sheets>
    <sheet name="бесплатно" sheetId="1" r:id="rId1"/>
    <sheet name="платно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 l="1"/>
  <c r="F18" i="2"/>
  <c r="F19" i="2"/>
  <c r="F11" i="2"/>
  <c r="F13" i="2"/>
  <c r="F14" i="2"/>
  <c r="F6" i="2"/>
  <c r="F4" i="2"/>
  <c r="F40" i="1"/>
  <c r="F39" i="1"/>
  <c r="F34" i="1"/>
  <c r="F37" i="1"/>
  <c r="F36" i="1"/>
  <c r="F35" i="1"/>
  <c r="F27" i="1"/>
  <c r="F26" i="1"/>
  <c r="F24" i="1"/>
  <c r="F20" i="1"/>
  <c r="F14" i="1"/>
  <c r="F15" i="1"/>
  <c r="F17" i="1"/>
  <c r="F16" i="1"/>
  <c r="F7" i="1"/>
  <c r="F6" i="1"/>
  <c r="F4" i="1"/>
  <c r="F21" i="2"/>
  <c r="J25" i="2"/>
  <c r="I25" i="2"/>
  <c r="H25" i="2"/>
  <c r="G25" i="2"/>
  <c r="J24" i="2"/>
  <c r="I24" i="2"/>
  <c r="H24" i="2"/>
  <c r="G24" i="2"/>
  <c r="F24" i="2"/>
  <c r="J14" i="2"/>
  <c r="I14" i="2"/>
  <c r="H14" i="2"/>
  <c r="G14" i="2"/>
  <c r="J15" i="2"/>
  <c r="I15" i="2"/>
  <c r="H15" i="2"/>
  <c r="G15" i="2"/>
  <c r="F15" i="2"/>
  <c r="F16" i="2"/>
  <c r="F25" i="2" l="1"/>
  <c r="F8" i="2"/>
  <c r="F10" i="1"/>
  <c r="F9" i="2"/>
  <c r="F32" i="1"/>
  <c r="F31" i="1"/>
  <c r="F8" i="1"/>
  <c r="F28" i="1"/>
  <c r="F29" i="1"/>
  <c r="G21" i="1"/>
  <c r="F12" i="1"/>
  <c r="F11" i="1"/>
  <c r="H13" i="1"/>
  <c r="G13" i="1"/>
  <c r="F9" i="1"/>
  <c r="H10" i="1"/>
  <c r="G10" i="1"/>
  <c r="F10" i="2" l="1"/>
  <c r="F41" i="1"/>
  <c r="F21" i="1"/>
  <c r="J10" i="1" l="1"/>
  <c r="I10" i="1" l="1"/>
  <c r="J23" i="2" l="1"/>
  <c r="J22" i="2"/>
  <c r="I23" i="2"/>
  <c r="I22" i="2"/>
  <c r="H23" i="2"/>
  <c r="H22" i="2"/>
  <c r="G23" i="2"/>
  <c r="G22" i="2"/>
  <c r="J21" i="2"/>
  <c r="I21" i="2"/>
  <c r="H21" i="2"/>
  <c r="G21" i="2"/>
  <c r="J16" i="2"/>
  <c r="I16" i="2"/>
  <c r="H16" i="2"/>
  <c r="G16" i="2"/>
  <c r="J13" i="2"/>
  <c r="I13" i="2"/>
  <c r="H13" i="2"/>
  <c r="G13" i="2"/>
  <c r="G17" i="2" s="1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40" i="1"/>
  <c r="J39" i="1"/>
  <c r="I40" i="1"/>
  <c r="I39" i="1"/>
  <c r="H40" i="1"/>
  <c r="H39" i="1"/>
  <c r="G40" i="1"/>
  <c r="G39" i="1"/>
  <c r="J37" i="1"/>
  <c r="I37" i="1"/>
  <c r="I41" i="1" s="1"/>
  <c r="H37" i="1"/>
  <c r="G37" i="1"/>
  <c r="J34" i="1"/>
  <c r="I34" i="1"/>
  <c r="H34" i="1"/>
  <c r="G34" i="1"/>
  <c r="J32" i="1"/>
  <c r="J33" i="1" s="1"/>
  <c r="I32" i="1"/>
  <c r="I33" i="1" s="1"/>
  <c r="H32" i="1"/>
  <c r="G32" i="1"/>
  <c r="J28" i="1"/>
  <c r="I28" i="1"/>
  <c r="H28" i="1"/>
  <c r="G28" i="1"/>
  <c r="J27" i="1"/>
  <c r="J26" i="1"/>
  <c r="I27" i="1"/>
  <c r="I26" i="1"/>
  <c r="H27" i="1"/>
  <c r="H26" i="1"/>
  <c r="G27" i="1"/>
  <c r="G26" i="1"/>
  <c r="G41" i="1"/>
  <c r="H33" i="1"/>
  <c r="G33" i="1"/>
  <c r="J29" i="1"/>
  <c r="I29" i="1"/>
  <c r="H29" i="1"/>
  <c r="G29" i="1"/>
  <c r="G30" i="1"/>
  <c r="J20" i="1"/>
  <c r="J19" i="1"/>
  <c r="I20" i="1"/>
  <c r="I19" i="1"/>
  <c r="H20" i="1"/>
  <c r="H19" i="1"/>
  <c r="G20" i="1"/>
  <c r="G19" i="1"/>
  <c r="J17" i="1"/>
  <c r="I17" i="1"/>
  <c r="H17" i="1"/>
  <c r="G17" i="1"/>
  <c r="J14" i="1"/>
  <c r="J21" i="1" s="1"/>
  <c r="I14" i="1"/>
  <c r="H14" i="1"/>
  <c r="H21" i="1" s="1"/>
  <c r="G14" i="1"/>
  <c r="J12" i="1"/>
  <c r="J13" i="1" s="1"/>
  <c r="I12" i="1"/>
  <c r="I13" i="1" s="1"/>
  <c r="H12" i="1"/>
  <c r="G12" i="1"/>
  <c r="J9" i="1"/>
  <c r="I9" i="1"/>
  <c r="H9" i="1"/>
  <c r="G9" i="1"/>
  <c r="J8" i="1"/>
  <c r="I8" i="1"/>
  <c r="H8" i="1"/>
  <c r="G8" i="1"/>
  <c r="J7" i="1"/>
  <c r="J6" i="1"/>
  <c r="I7" i="1"/>
  <c r="I6" i="1"/>
  <c r="H7" i="1"/>
  <c r="H6" i="1"/>
  <c r="G7" i="1"/>
  <c r="G6" i="1"/>
  <c r="H17" i="2" l="1"/>
  <c r="G10" i="2"/>
  <c r="J17" i="2"/>
  <c r="H10" i="2"/>
  <c r="I10" i="2"/>
  <c r="J10" i="2"/>
  <c r="I17" i="2"/>
  <c r="J30" i="1"/>
  <c r="J41" i="1"/>
  <c r="I21" i="1"/>
  <c r="H30" i="1"/>
  <c r="I30" i="1"/>
  <c r="H41" i="1"/>
</calcChain>
</file>

<file path=xl/sharedStrings.xml><?xml version="1.0" encoding="utf-8"?>
<sst xmlns="http://schemas.openxmlformats.org/spreadsheetml/2006/main" count="182" uniqueCount="64">
  <si>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</si>
  <si>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</si>
  <si>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</si>
  <si>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</si>
  <si>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</si>
  <si>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</si>
  <si>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</si>
  <si>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</si>
  <si>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</si>
  <si>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</si>
  <si>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</si>
  <si>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</si>
  <si>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</si>
  <si>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</si>
  <si>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</si>
  <si>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</si>
  <si>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</si>
  <si>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</si>
  <si>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</si>
  <si>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</si>
  <si>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</si>
  <si>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</si>
  <si>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</si>
  <si>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</si>
  <si>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</si>
  <si>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</si>
  <si>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</si>
  <si>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</si>
  <si>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</si>
  <si>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</si>
  <si>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</si>
  <si>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</si>
  <si>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</si>
  <si>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</si>
  <si>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</si>
  <si>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Плов из птицы</t>
  </si>
  <si>
    <t>Огурец соленый</t>
  </si>
  <si>
    <t>Лепешка с сыром</t>
  </si>
  <si>
    <t>Рыба тушеная в томате с овощами</t>
  </si>
  <si>
    <t>Пюре картофельное</t>
  </si>
  <si>
    <t>Кампот из смеси сухофруктов</t>
  </si>
  <si>
    <t>Борщ с капустой и мясом со сметаной</t>
  </si>
  <si>
    <t>45/45</t>
  </si>
  <si>
    <t>160/40</t>
  </si>
  <si>
    <t>"___"_____2022</t>
  </si>
  <si>
    <t>180</t>
  </si>
  <si>
    <t>Вафли</t>
  </si>
  <si>
    <t>Чай с сахаром</t>
  </si>
  <si>
    <t>120/40</t>
  </si>
  <si>
    <t>Снежок</t>
  </si>
  <si>
    <t>235/15/5</t>
  </si>
  <si>
    <t>Зеленый горошек</t>
  </si>
  <si>
    <t>200</t>
  </si>
  <si>
    <t>55/55</t>
  </si>
  <si>
    <t>Сок</t>
  </si>
  <si>
    <t>30</t>
  </si>
  <si>
    <t>36</t>
  </si>
  <si>
    <t>55</t>
  </si>
  <si>
    <t>240/10/5</t>
  </si>
  <si>
    <t>31</t>
  </si>
  <si>
    <t>80</t>
  </si>
  <si>
    <t>33</t>
  </si>
  <si>
    <t>37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</si>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</sst>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6" xfId="0" applyNumberFormat="1" applyFont="1" applyFill="1" applyBorder="1" applyProtection="1"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Protection="1"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/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2" fontId="6" fillId="0" borderId="16" xfId="0" applyNumberFormat="1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Protection="1"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Protection="1"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Fill="1" applyBorder="1"/>
    <xf numFmtId="2" fontId="9" fillId="0" borderId="18" xfId="0" applyNumberFormat="1" applyFont="1" applyFill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tabSelected="1" workbookViewId="0">
      <selection activeCell="O11" sqref="O1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9.77734375" style="23" customWidth="1"/>
    <col min="6" max="6" width="9.33203125" style="1" bestFit="1" customWidth="1"/>
    <col min="7" max="7" width="7.6640625" style="1" customWidth="1"/>
    <col min="8" max="8" width="6.109375" style="1" bestFit="1" customWidth="1"/>
    <col min="9" max="9" width="11.3320312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14" t="s">
        <v>63</v>
      </c>
      <c r="C1" s="115"/>
      <c r="D1" s="116"/>
      <c r="E1" s="23" t="s">
        <v>30</v>
      </c>
      <c r="F1" s="22"/>
      <c r="H1" s="1" t="s">
        <v>1</v>
      </c>
      <c r="I1" s="21">
        <v>44826</v>
      </c>
    </row>
    <row r="2" spans="1:10" ht="15" thickBot="1" x14ac:dyDescent="0.35">
      <c r="B2" s="2" t="s">
        <v>29</v>
      </c>
    </row>
    <row r="3" spans="1:10" s="30" customFormat="1" ht="29.4" thickBot="1" x14ac:dyDescent="0.35">
      <c r="A3" s="26" t="s">
        <v>2</v>
      </c>
      <c r="B3" s="27" t="s">
        <v>3</v>
      </c>
      <c r="C3" s="27" t="s">
        <v>21</v>
      </c>
      <c r="D3" s="27" t="s">
        <v>4</v>
      </c>
      <c r="E3" s="66" t="s">
        <v>22</v>
      </c>
      <c r="F3" s="66" t="s">
        <v>5</v>
      </c>
      <c r="G3" s="28" t="s">
        <v>6</v>
      </c>
      <c r="H3" s="27" t="s">
        <v>7</v>
      </c>
      <c r="I3" s="27" t="s">
        <v>8</v>
      </c>
      <c r="J3" s="29" t="s">
        <v>9</v>
      </c>
    </row>
    <row r="4" spans="1:10" ht="15.6" x14ac:dyDescent="0.3">
      <c r="A4" s="6" t="s">
        <v>10</v>
      </c>
      <c r="B4" s="44" t="s">
        <v>11</v>
      </c>
      <c r="C4" s="81">
        <v>34</v>
      </c>
      <c r="D4" s="82" t="s">
        <v>35</v>
      </c>
      <c r="E4" s="67" t="s">
        <v>48</v>
      </c>
      <c r="F4" s="68">
        <f>21.86*40/54+7.65*120/106</f>
        <v>24.852969951083161</v>
      </c>
      <c r="G4" s="8">
        <v>348.8</v>
      </c>
      <c r="H4" s="8">
        <v>15.89</v>
      </c>
      <c r="I4" s="8">
        <v>20.27</v>
      </c>
      <c r="J4" s="9">
        <v>25.71</v>
      </c>
    </row>
    <row r="5" spans="1:10" ht="15.6" x14ac:dyDescent="0.3">
      <c r="A5" s="10"/>
      <c r="B5" s="46" t="s">
        <v>12</v>
      </c>
      <c r="C5" s="83">
        <v>57</v>
      </c>
      <c r="D5" s="84" t="s">
        <v>47</v>
      </c>
      <c r="E5" s="69">
        <v>200</v>
      </c>
      <c r="F5" s="70">
        <v>1.6</v>
      </c>
      <c r="G5" s="12">
        <v>41</v>
      </c>
      <c r="H5" s="12">
        <v>0</v>
      </c>
      <c r="I5" s="12">
        <v>0</v>
      </c>
      <c r="J5" s="13">
        <v>10.01</v>
      </c>
    </row>
    <row r="6" spans="1:10" ht="15.6" x14ac:dyDescent="0.3">
      <c r="A6" s="10"/>
      <c r="B6" s="46" t="s">
        <v>19</v>
      </c>
      <c r="C6" s="83" t="s">
        <v>23</v>
      </c>
      <c r="D6" s="84" t="s">
        <v>24</v>
      </c>
      <c r="E6" s="69">
        <v>30</v>
      </c>
      <c r="F6" s="70">
        <f>44*0.03</f>
        <v>1.3199999999999998</v>
      </c>
      <c r="G6" s="12">
        <f>40*27/20</f>
        <v>54</v>
      </c>
      <c r="H6" s="12">
        <f>0.98*27/20</f>
        <v>1.323</v>
      </c>
      <c r="I6" s="12">
        <f>0.2*27/20</f>
        <v>0.27</v>
      </c>
      <c r="J6" s="13">
        <f>8.95*27/20</f>
        <v>12.0825</v>
      </c>
    </row>
    <row r="7" spans="1:10" ht="15.6" x14ac:dyDescent="0.3">
      <c r="A7" s="10"/>
      <c r="B7" s="49"/>
      <c r="C7" s="83" t="s">
        <v>23</v>
      </c>
      <c r="D7" s="84" t="s">
        <v>28</v>
      </c>
      <c r="E7" s="69">
        <v>30</v>
      </c>
      <c r="F7" s="70">
        <f>68*0.03</f>
        <v>2.04</v>
      </c>
      <c r="G7" s="12">
        <f>41.6*28/20</f>
        <v>58.239999999999995</v>
      </c>
      <c r="H7" s="12">
        <f>1.6*28/20</f>
        <v>2.2400000000000002</v>
      </c>
      <c r="I7" s="12">
        <f>0.03*28/20</f>
        <v>4.1999999999999996E-2</v>
      </c>
      <c r="J7" s="13">
        <f>8.02*28/20</f>
        <v>11.228</v>
      </c>
    </row>
    <row r="8" spans="1:10" ht="15.6" x14ac:dyDescent="0.3">
      <c r="A8" s="10"/>
      <c r="B8" s="49" t="s">
        <v>25</v>
      </c>
      <c r="C8" s="83">
        <v>4</v>
      </c>
      <c r="D8" s="84" t="s">
        <v>36</v>
      </c>
      <c r="E8" s="69">
        <v>45</v>
      </c>
      <c r="F8" s="70">
        <f>28.02*45/60</f>
        <v>21.015000000000001</v>
      </c>
      <c r="G8" s="12">
        <f>14.14*35/60</f>
        <v>8.2483333333333331</v>
      </c>
      <c r="H8" s="12">
        <f>0.66*35/60</f>
        <v>0.38500000000000001</v>
      </c>
      <c r="I8" s="12">
        <f>0.12*35/60</f>
        <v>7.0000000000000007E-2</v>
      </c>
      <c r="J8" s="13">
        <f>2.28*35/60</f>
        <v>1.3299999999999998</v>
      </c>
    </row>
    <row r="9" spans="1:10" ht="15.6" x14ac:dyDescent="0.3">
      <c r="A9" s="10"/>
      <c r="B9" s="91"/>
      <c r="C9" s="83" t="s">
        <v>23</v>
      </c>
      <c r="D9" s="84" t="s">
        <v>46</v>
      </c>
      <c r="E9" s="69">
        <v>40</v>
      </c>
      <c r="F9" s="70">
        <f>243.6*0.04</f>
        <v>9.7439999999999998</v>
      </c>
      <c r="G9" s="19">
        <f>127.12</f>
        <v>127.12</v>
      </c>
      <c r="H9" s="19">
        <f>2.14</f>
        <v>2.14</v>
      </c>
      <c r="I9" s="19">
        <f>2.8</f>
        <v>2.8</v>
      </c>
      <c r="J9" s="60">
        <f>23.34</f>
        <v>23.34</v>
      </c>
    </row>
    <row r="10" spans="1:10" ht="16.2" thickBot="1" x14ac:dyDescent="0.35">
      <c r="A10" s="98"/>
      <c r="B10" s="99"/>
      <c r="C10" s="100"/>
      <c r="D10" s="101"/>
      <c r="E10" s="102"/>
      <c r="F10" s="103">
        <f>SUM(F4:F9)</f>
        <v>60.571969951083162</v>
      </c>
      <c r="G10" s="104">
        <f>SUM(G4:G9)</f>
        <v>637.4083333333333</v>
      </c>
      <c r="H10" s="104">
        <f>SUM(H4:H9)</f>
        <v>21.978000000000005</v>
      </c>
      <c r="I10" s="104">
        <f>SUM(I4:I9)</f>
        <v>23.452000000000002</v>
      </c>
      <c r="J10" s="104">
        <f>SUM(J4:J9)</f>
        <v>83.700499999999991</v>
      </c>
    </row>
    <row r="11" spans="1:10" ht="15.6" x14ac:dyDescent="0.3">
      <c r="A11" s="6" t="s">
        <v>26</v>
      </c>
      <c r="B11" s="7"/>
      <c r="C11" s="85">
        <v>63</v>
      </c>
      <c r="D11" s="86" t="s">
        <v>49</v>
      </c>
      <c r="E11" s="71">
        <v>180</v>
      </c>
      <c r="F11" s="68">
        <f>27.31*180/200</f>
        <v>24.579000000000001</v>
      </c>
      <c r="G11" s="8">
        <v>106</v>
      </c>
      <c r="H11" s="8">
        <v>5.8</v>
      </c>
      <c r="I11" s="8">
        <v>5</v>
      </c>
      <c r="J11" s="9">
        <v>8</v>
      </c>
    </row>
    <row r="12" spans="1:10" ht="15.6" x14ac:dyDescent="0.3">
      <c r="A12" s="18"/>
      <c r="B12" s="14"/>
      <c r="C12" s="87">
        <v>62</v>
      </c>
      <c r="D12" s="88" t="s">
        <v>37</v>
      </c>
      <c r="E12" s="69">
        <v>100</v>
      </c>
      <c r="F12" s="70">
        <f>22.49*100/100</f>
        <v>22.49</v>
      </c>
      <c r="G12" s="12">
        <f>271.84*120/100</f>
        <v>326.20799999999997</v>
      </c>
      <c r="H12" s="12">
        <f>10.49*120/100</f>
        <v>12.587999999999999</v>
      </c>
      <c r="I12" s="12">
        <f>11.32*120/100</f>
        <v>13.584000000000001</v>
      </c>
      <c r="J12" s="12">
        <f>32*120/100</f>
        <v>38.4</v>
      </c>
    </row>
    <row r="13" spans="1:10" ht="16.2" thickBot="1" x14ac:dyDescent="0.35">
      <c r="A13" s="24"/>
      <c r="B13" s="15"/>
      <c r="C13" s="89"/>
      <c r="D13" s="90"/>
      <c r="E13" s="72"/>
      <c r="F13" s="73">
        <v>45.43</v>
      </c>
      <c r="G13" s="16">
        <f>SUM(G11:G12)</f>
        <v>432.20799999999997</v>
      </c>
      <c r="H13" s="16">
        <f>SUM(H11:H12)</f>
        <v>18.387999999999998</v>
      </c>
      <c r="I13" s="16">
        <f t="shared" ref="I13:J13" si="0">SUM(I11:I12)</f>
        <v>18.584000000000003</v>
      </c>
      <c r="J13" s="16">
        <f t="shared" si="0"/>
        <v>46.4</v>
      </c>
    </row>
    <row r="14" spans="1:10" ht="15.6" x14ac:dyDescent="0.3">
      <c r="A14" s="6" t="s">
        <v>13</v>
      </c>
      <c r="B14" s="7" t="s">
        <v>14</v>
      </c>
      <c r="C14" s="85">
        <v>1</v>
      </c>
      <c r="D14" s="86" t="s">
        <v>51</v>
      </c>
      <c r="E14" s="67" t="s">
        <v>57</v>
      </c>
      <c r="F14" s="68">
        <f>18.88*55/60</f>
        <v>17.306666666666665</v>
      </c>
      <c r="G14" s="8">
        <f>24*50/60</f>
        <v>20</v>
      </c>
      <c r="H14" s="8">
        <f>1.86*50/60</f>
        <v>1.55</v>
      </c>
      <c r="I14" s="8">
        <f>0.12*50/60</f>
        <v>0.1</v>
      </c>
      <c r="J14" s="9">
        <f>3.9*50/60</f>
        <v>3.25</v>
      </c>
    </row>
    <row r="15" spans="1:10" ht="32.4" customHeight="1" x14ac:dyDescent="0.3">
      <c r="A15" s="10"/>
      <c r="B15" s="11" t="s">
        <v>15</v>
      </c>
      <c r="C15" s="87">
        <v>22</v>
      </c>
      <c r="D15" s="88" t="s">
        <v>41</v>
      </c>
      <c r="E15" s="74" t="s">
        <v>58</v>
      </c>
      <c r="F15" s="70">
        <f>9.59*240/250+1.73+9.2*1</f>
        <v>20.136400000000002</v>
      </c>
      <c r="G15" s="12">
        <v>108.5</v>
      </c>
      <c r="H15" s="12">
        <v>1.75</v>
      </c>
      <c r="I15" s="12">
        <v>6.05</v>
      </c>
      <c r="J15" s="13">
        <v>11.86</v>
      </c>
    </row>
    <row r="16" spans="1:10" ht="28.8" x14ac:dyDescent="0.3">
      <c r="A16" s="10"/>
      <c r="B16" s="11" t="s">
        <v>16</v>
      </c>
      <c r="C16" s="87">
        <v>51</v>
      </c>
      <c r="D16" s="88" t="s">
        <v>38</v>
      </c>
      <c r="E16" s="74" t="s">
        <v>42</v>
      </c>
      <c r="F16" s="70">
        <f>23.72*45/45+3.39*45/45</f>
        <v>27.109999999999996</v>
      </c>
      <c r="G16" s="12">
        <v>94.5</v>
      </c>
      <c r="H16" s="12">
        <v>8.66</v>
      </c>
      <c r="I16" s="12">
        <v>4.47</v>
      </c>
      <c r="J16" s="13">
        <v>4.6399999999999997</v>
      </c>
    </row>
    <row r="17" spans="1:10" ht="15.6" x14ac:dyDescent="0.3">
      <c r="A17" s="10"/>
      <c r="B17" s="11" t="s">
        <v>17</v>
      </c>
      <c r="C17" s="87">
        <v>7</v>
      </c>
      <c r="D17" s="88" t="s">
        <v>39</v>
      </c>
      <c r="E17" s="74" t="s">
        <v>45</v>
      </c>
      <c r="F17" s="70">
        <f>17.7*180/180</f>
        <v>17.7</v>
      </c>
      <c r="G17" s="12">
        <f>159.12*150/180</f>
        <v>132.6</v>
      </c>
      <c r="H17" s="12">
        <f>3.74*150/180</f>
        <v>3.1166666666666667</v>
      </c>
      <c r="I17" s="12">
        <f>6.12*150/180</f>
        <v>5.0999999999999996</v>
      </c>
      <c r="J17" s="13">
        <f>22.28*150/180</f>
        <v>18.566666666666666</v>
      </c>
    </row>
    <row r="18" spans="1:10" ht="28.8" x14ac:dyDescent="0.3">
      <c r="A18" s="10"/>
      <c r="B18" s="11" t="s">
        <v>27</v>
      </c>
      <c r="C18" s="87">
        <v>17</v>
      </c>
      <c r="D18" s="88" t="s">
        <v>40</v>
      </c>
      <c r="E18" s="74">
        <v>200</v>
      </c>
      <c r="F18" s="70">
        <v>5.13</v>
      </c>
      <c r="G18" s="12">
        <v>80</v>
      </c>
      <c r="H18" s="12">
        <v>0.44</v>
      </c>
      <c r="I18" s="12">
        <v>0</v>
      </c>
      <c r="J18" s="13">
        <v>18.899999999999999</v>
      </c>
    </row>
    <row r="19" spans="1:10" ht="15.6" x14ac:dyDescent="0.3">
      <c r="A19" s="10"/>
      <c r="B19" s="11" t="s">
        <v>20</v>
      </c>
      <c r="C19" s="87" t="s">
        <v>23</v>
      </c>
      <c r="D19" s="88" t="s">
        <v>28</v>
      </c>
      <c r="E19" s="74" t="s">
        <v>59</v>
      </c>
      <c r="F19" s="70">
        <v>2.1</v>
      </c>
      <c r="G19" s="12">
        <f>62.4*38/30</f>
        <v>79.039999999999992</v>
      </c>
      <c r="H19" s="12">
        <f>2.4*38/30</f>
        <v>3.04</v>
      </c>
      <c r="I19" s="12">
        <f>0.45*38/30</f>
        <v>0.57000000000000006</v>
      </c>
      <c r="J19" s="13">
        <f>11.37*38/30</f>
        <v>14.401999999999997</v>
      </c>
    </row>
    <row r="20" spans="1:10" ht="15.6" x14ac:dyDescent="0.3">
      <c r="A20" s="10"/>
      <c r="B20" s="20" t="s">
        <v>18</v>
      </c>
      <c r="C20" s="89" t="s">
        <v>23</v>
      </c>
      <c r="D20" s="90" t="s">
        <v>24</v>
      </c>
      <c r="E20" s="75" t="s">
        <v>55</v>
      </c>
      <c r="F20" s="73">
        <f>46.14*0.03</f>
        <v>1.3841999999999999</v>
      </c>
      <c r="G20" s="16">
        <f>60*37/30</f>
        <v>74</v>
      </c>
      <c r="H20" s="16">
        <f>1.47*37/30</f>
        <v>1.8129999999999999</v>
      </c>
      <c r="I20" s="16">
        <f>0.3*37/30</f>
        <v>0.37</v>
      </c>
      <c r="J20" s="17">
        <f>13.44*37/30</f>
        <v>16.576000000000001</v>
      </c>
    </row>
    <row r="21" spans="1:10" ht="16.2" thickBot="1" x14ac:dyDescent="0.35">
      <c r="A21" s="61"/>
      <c r="B21" s="62"/>
      <c r="C21" s="63"/>
      <c r="D21" s="63"/>
      <c r="E21" s="79"/>
      <c r="F21" s="80">
        <f>SUM(F14:F20)</f>
        <v>90.867266666666666</v>
      </c>
      <c r="G21" s="64">
        <f>SUM(G14:G20)</f>
        <v>588.64</v>
      </c>
      <c r="H21" s="64">
        <f t="shared" ref="H21:J21" si="1">SUM(H14:H20)</f>
        <v>20.369666666666667</v>
      </c>
      <c r="I21" s="64">
        <f t="shared" si="1"/>
        <v>16.66</v>
      </c>
      <c r="J21" s="65">
        <f t="shared" si="1"/>
        <v>88.194666666666649</v>
      </c>
    </row>
    <row r="22" spans="1:10" ht="16.2" thickBot="1" x14ac:dyDescent="0.35">
      <c r="B22" s="2" t="s">
        <v>31</v>
      </c>
      <c r="E22" s="76"/>
      <c r="F22" s="77"/>
    </row>
    <row r="23" spans="1:10" ht="29.4" thickBot="1" x14ac:dyDescent="0.35">
      <c r="A23" s="3" t="s">
        <v>2</v>
      </c>
      <c r="B23" s="4" t="s">
        <v>3</v>
      </c>
      <c r="C23" s="4" t="s">
        <v>21</v>
      </c>
      <c r="D23" s="4" t="s">
        <v>4</v>
      </c>
      <c r="E23" s="78" t="s">
        <v>22</v>
      </c>
      <c r="F23" s="78" t="s">
        <v>5</v>
      </c>
      <c r="G23" s="25" t="s">
        <v>6</v>
      </c>
      <c r="H23" s="4" t="s">
        <v>7</v>
      </c>
      <c r="I23" s="4" t="s">
        <v>8</v>
      </c>
      <c r="J23" s="5" t="s">
        <v>9</v>
      </c>
    </row>
    <row r="24" spans="1:10" ht="15.6" x14ac:dyDescent="0.3">
      <c r="A24" s="6" t="s">
        <v>10</v>
      </c>
      <c r="B24" s="44" t="s">
        <v>11</v>
      </c>
      <c r="C24" s="81">
        <v>34</v>
      </c>
      <c r="D24" s="82" t="s">
        <v>35</v>
      </c>
      <c r="E24" s="67" t="s">
        <v>43</v>
      </c>
      <c r="F24" s="68">
        <f>27.26*40/67+9.72*160/133</f>
        <v>27.967859948378411</v>
      </c>
      <c r="G24" s="8">
        <v>436</v>
      </c>
      <c r="H24" s="8">
        <v>19.87</v>
      </c>
      <c r="I24" s="8">
        <v>25.33</v>
      </c>
      <c r="J24" s="9">
        <v>32.130000000000003</v>
      </c>
    </row>
    <row r="25" spans="1:10" ht="15.6" x14ac:dyDescent="0.3">
      <c r="A25" s="10"/>
      <c r="B25" s="46" t="s">
        <v>12</v>
      </c>
      <c r="C25" s="83">
        <v>57</v>
      </c>
      <c r="D25" s="84" t="s">
        <v>47</v>
      </c>
      <c r="E25" s="69">
        <v>200</v>
      </c>
      <c r="F25" s="70">
        <v>1.6</v>
      </c>
      <c r="G25" s="12">
        <v>41</v>
      </c>
      <c r="H25" s="12">
        <v>0</v>
      </c>
      <c r="I25" s="12">
        <v>0</v>
      </c>
      <c r="J25" s="13">
        <v>10.01</v>
      </c>
    </row>
    <row r="26" spans="1:10" ht="15.6" x14ac:dyDescent="0.3">
      <c r="A26" s="10"/>
      <c r="B26" s="46" t="s">
        <v>19</v>
      </c>
      <c r="C26" s="83" t="s">
        <v>23</v>
      </c>
      <c r="D26" s="84" t="s">
        <v>24</v>
      </c>
      <c r="E26" s="69">
        <v>30</v>
      </c>
      <c r="F26" s="70">
        <f>46.14*0.03</f>
        <v>1.3841999999999999</v>
      </c>
      <c r="G26" s="12">
        <f>40*38/20</f>
        <v>76</v>
      </c>
      <c r="H26" s="12">
        <f>0.98*38/20</f>
        <v>1.8620000000000001</v>
      </c>
      <c r="I26" s="12">
        <f>0.2*38/20</f>
        <v>0.38</v>
      </c>
      <c r="J26" s="13">
        <f>8.95*38/20</f>
        <v>17.004999999999999</v>
      </c>
    </row>
    <row r="27" spans="1:10" ht="15.6" x14ac:dyDescent="0.3">
      <c r="A27" s="10"/>
      <c r="B27" s="49"/>
      <c r="C27" s="83" t="s">
        <v>23</v>
      </c>
      <c r="D27" s="84" t="s">
        <v>28</v>
      </c>
      <c r="E27" s="69">
        <v>30</v>
      </c>
      <c r="F27" s="70">
        <f>68*0.03</f>
        <v>2.04</v>
      </c>
      <c r="G27" s="12">
        <f>41.6*39/20</f>
        <v>81.12</v>
      </c>
      <c r="H27" s="12">
        <f>1.6*39/20</f>
        <v>3.12</v>
      </c>
      <c r="I27" s="12">
        <f>0.03*39/20</f>
        <v>5.8499999999999996E-2</v>
      </c>
      <c r="J27" s="13">
        <f>8.02*39/20</f>
        <v>15.638999999999999</v>
      </c>
    </row>
    <row r="28" spans="1:10" ht="15.6" x14ac:dyDescent="0.3">
      <c r="A28" s="10"/>
      <c r="B28" s="49" t="s">
        <v>25</v>
      </c>
      <c r="C28" s="83">
        <v>4</v>
      </c>
      <c r="D28" s="84" t="s">
        <v>36</v>
      </c>
      <c r="E28" s="69">
        <v>60</v>
      </c>
      <c r="F28" s="70">
        <f>46.71*60/100</f>
        <v>28.026</v>
      </c>
      <c r="G28" s="12">
        <f>14.14*50/60</f>
        <v>11.783333333333333</v>
      </c>
      <c r="H28" s="12">
        <f>0.66*50/60</f>
        <v>0.55000000000000004</v>
      </c>
      <c r="I28" s="12">
        <f>0.12*50/60</f>
        <v>0.1</v>
      </c>
      <c r="J28" s="13">
        <f>2.28*50/60</f>
        <v>1.8999999999999997</v>
      </c>
    </row>
    <row r="29" spans="1:10" ht="15.6" x14ac:dyDescent="0.3">
      <c r="A29" s="10"/>
      <c r="B29" s="91"/>
      <c r="C29" s="83" t="s">
        <v>23</v>
      </c>
      <c r="D29" s="84" t="s">
        <v>46</v>
      </c>
      <c r="E29" s="69">
        <v>40</v>
      </c>
      <c r="F29" s="70">
        <f>243.6*0.04</f>
        <v>9.7439999999999998</v>
      </c>
      <c r="G29" s="19">
        <f>127.12</f>
        <v>127.12</v>
      </c>
      <c r="H29" s="19">
        <f>2.14</f>
        <v>2.14</v>
      </c>
      <c r="I29" s="19">
        <f>2.8</f>
        <v>2.8</v>
      </c>
      <c r="J29" s="60">
        <f>23.34</f>
        <v>23.34</v>
      </c>
    </row>
    <row r="30" spans="1:10" ht="16.2" thickBot="1" x14ac:dyDescent="0.35">
      <c r="B30" s="20"/>
      <c r="C30" s="20"/>
      <c r="D30" s="20"/>
      <c r="E30" s="72"/>
      <c r="F30" s="92">
        <v>70.430000000000007</v>
      </c>
      <c r="G30" s="104">
        <f>SUM(G24:G29)</f>
        <v>773.02333333333331</v>
      </c>
      <c r="H30" s="104">
        <f t="shared" ref="H30" si="2">SUM(H24:H29)</f>
        <v>27.542000000000002</v>
      </c>
      <c r="I30" s="104">
        <f t="shared" ref="I30" si="3">SUM(I24:I29)</f>
        <v>28.668499999999998</v>
      </c>
      <c r="J30" s="104">
        <f t="shared" ref="J30" si="4">SUM(J24:J29)</f>
        <v>100.024</v>
      </c>
    </row>
    <row r="31" spans="1:10" ht="15.6" x14ac:dyDescent="0.3">
      <c r="A31" s="6" t="s">
        <v>26</v>
      </c>
      <c r="B31" s="7"/>
      <c r="C31" s="85">
        <v>63</v>
      </c>
      <c r="D31" s="86" t="s">
        <v>49</v>
      </c>
      <c r="E31" s="71">
        <v>200</v>
      </c>
      <c r="F31" s="68">
        <f>27.31*200/200</f>
        <v>27.31</v>
      </c>
      <c r="G31" s="8">
        <v>106</v>
      </c>
      <c r="H31" s="8">
        <v>5.8</v>
      </c>
      <c r="I31" s="8">
        <v>5</v>
      </c>
      <c r="J31" s="9">
        <v>8</v>
      </c>
    </row>
    <row r="32" spans="1:10" ht="15.6" x14ac:dyDescent="0.3">
      <c r="A32" s="10"/>
      <c r="B32" s="14"/>
      <c r="C32" s="87">
        <v>62</v>
      </c>
      <c r="D32" s="88" t="s">
        <v>37</v>
      </c>
      <c r="E32" s="69">
        <v>150</v>
      </c>
      <c r="F32" s="70">
        <f>22.49*115/100</f>
        <v>25.863499999999998</v>
      </c>
      <c r="G32" s="12">
        <f>271.84*150/100</f>
        <v>407.75999999999993</v>
      </c>
      <c r="H32" s="12">
        <f>10.49*150/100</f>
        <v>15.734999999999999</v>
      </c>
      <c r="I32" s="12">
        <f>11.32*150/100</f>
        <v>16.98</v>
      </c>
      <c r="J32" s="12">
        <f>32*150/100</f>
        <v>48</v>
      </c>
    </row>
    <row r="33" spans="1:10" ht="16.2" thickBot="1" x14ac:dyDescent="0.35">
      <c r="A33" s="93"/>
      <c r="B33" s="62"/>
      <c r="C33" s="94"/>
      <c r="D33" s="95"/>
      <c r="E33" s="96"/>
      <c r="F33" s="97">
        <v>52.81</v>
      </c>
      <c r="G33" s="16">
        <f>SUM(G31:G32)</f>
        <v>513.76</v>
      </c>
      <c r="H33" s="16">
        <f t="shared" ref="H33" si="5">SUM(H31:H32)</f>
        <v>21.535</v>
      </c>
      <c r="I33" s="16">
        <f t="shared" ref="I33" si="6">SUM(I31:I32)</f>
        <v>21.98</v>
      </c>
      <c r="J33" s="16">
        <f t="shared" ref="J33" si="7">SUM(J31:J32)</f>
        <v>56</v>
      </c>
    </row>
    <row r="34" spans="1:10" ht="15.6" x14ac:dyDescent="0.3">
      <c r="A34" s="6" t="s">
        <v>13</v>
      </c>
      <c r="B34" s="7" t="s">
        <v>14</v>
      </c>
      <c r="C34" s="85">
        <v>1</v>
      </c>
      <c r="D34" s="86" t="s">
        <v>51</v>
      </c>
      <c r="E34" s="67" t="s">
        <v>60</v>
      </c>
      <c r="F34" s="68">
        <f>31.6*80/100</f>
        <v>25.28</v>
      </c>
      <c r="G34" s="8">
        <f>24*70/60</f>
        <v>28</v>
      </c>
      <c r="H34" s="8">
        <f>1.86*70/60</f>
        <v>2.1700000000000004</v>
      </c>
      <c r="I34" s="8">
        <f>0.12*70/60</f>
        <v>0.14000000000000001</v>
      </c>
      <c r="J34" s="9">
        <f>3.9*70/60</f>
        <v>4.55</v>
      </c>
    </row>
    <row r="35" spans="1:10" ht="28.8" x14ac:dyDescent="0.3">
      <c r="A35" s="10"/>
      <c r="B35" s="11" t="s">
        <v>15</v>
      </c>
      <c r="C35" s="87">
        <v>22</v>
      </c>
      <c r="D35" s="88" t="s">
        <v>41</v>
      </c>
      <c r="E35" s="74" t="s">
        <v>58</v>
      </c>
      <c r="F35" s="70">
        <f>9.59*240/250+1.73+9.2*1</f>
        <v>20.136400000000002</v>
      </c>
      <c r="G35" s="12">
        <v>108.5</v>
      </c>
      <c r="H35" s="12">
        <v>1.75</v>
      </c>
      <c r="I35" s="12">
        <v>6.05</v>
      </c>
      <c r="J35" s="13">
        <v>11.86</v>
      </c>
    </row>
    <row r="36" spans="1:10" ht="28.8" x14ac:dyDescent="0.3">
      <c r="A36" s="10"/>
      <c r="B36" s="11" t="s">
        <v>16</v>
      </c>
      <c r="C36" s="87">
        <v>51</v>
      </c>
      <c r="D36" s="88" t="s">
        <v>38</v>
      </c>
      <c r="E36" s="74" t="s">
        <v>53</v>
      </c>
      <c r="F36" s="70">
        <f>26.22*55/50+4.34*55/50</f>
        <v>33.616</v>
      </c>
      <c r="G36" s="12">
        <v>105</v>
      </c>
      <c r="H36" s="12">
        <v>9.6199999999999992</v>
      </c>
      <c r="I36" s="12">
        <v>4.97</v>
      </c>
      <c r="J36" s="13">
        <v>5.15</v>
      </c>
    </row>
    <row r="37" spans="1:10" ht="15.6" x14ac:dyDescent="0.3">
      <c r="A37" s="10"/>
      <c r="B37" s="11" t="s">
        <v>17</v>
      </c>
      <c r="C37" s="87">
        <v>7</v>
      </c>
      <c r="D37" s="88" t="s">
        <v>39</v>
      </c>
      <c r="E37" s="74" t="s">
        <v>45</v>
      </c>
      <c r="F37" s="70">
        <f>17.7*180/180</f>
        <v>17.7</v>
      </c>
      <c r="G37" s="12">
        <f>159.12*180/180</f>
        <v>159.12</v>
      </c>
      <c r="H37" s="12">
        <f>3.74*180/180</f>
        <v>3.74</v>
      </c>
      <c r="I37" s="12">
        <f>6.12*180/180</f>
        <v>6.1199999999999992</v>
      </c>
      <c r="J37" s="13">
        <f>22.28*180/180</f>
        <v>22.28</v>
      </c>
    </row>
    <row r="38" spans="1:10" ht="28.8" x14ac:dyDescent="0.3">
      <c r="A38" s="10"/>
      <c r="B38" s="11" t="s">
        <v>27</v>
      </c>
      <c r="C38" s="87">
        <v>17</v>
      </c>
      <c r="D38" s="88" t="s">
        <v>40</v>
      </c>
      <c r="E38" s="74">
        <v>200</v>
      </c>
      <c r="F38" s="70">
        <v>5.13</v>
      </c>
      <c r="G38" s="12">
        <v>80</v>
      </c>
      <c r="H38" s="12">
        <v>0.44</v>
      </c>
      <c r="I38" s="12">
        <v>0</v>
      </c>
      <c r="J38" s="13">
        <v>18.899999999999999</v>
      </c>
    </row>
    <row r="39" spans="1:10" ht="15.6" x14ac:dyDescent="0.3">
      <c r="A39" s="10"/>
      <c r="B39" s="11" t="s">
        <v>20</v>
      </c>
      <c r="C39" s="87" t="s">
        <v>23</v>
      </c>
      <c r="D39" s="88" t="s">
        <v>28</v>
      </c>
      <c r="E39" s="74" t="s">
        <v>61</v>
      </c>
      <c r="F39" s="70">
        <f>68*0.033</f>
        <v>2.2440000000000002</v>
      </c>
      <c r="G39" s="12">
        <f>62.4*42/30</f>
        <v>87.359999999999985</v>
      </c>
      <c r="H39" s="12">
        <f>2.4*42/30</f>
        <v>3.36</v>
      </c>
      <c r="I39" s="12">
        <f>0.45*42/30</f>
        <v>0.63000000000000012</v>
      </c>
      <c r="J39" s="13">
        <f>11.37*42/30</f>
        <v>15.917999999999999</v>
      </c>
    </row>
    <row r="40" spans="1:10" ht="15.6" x14ac:dyDescent="0.3">
      <c r="A40" s="10"/>
      <c r="B40" s="20" t="s">
        <v>18</v>
      </c>
      <c r="C40" s="89" t="s">
        <v>23</v>
      </c>
      <c r="D40" s="90" t="s">
        <v>24</v>
      </c>
      <c r="E40" s="75" t="s">
        <v>61</v>
      </c>
      <c r="F40" s="73">
        <f>46.14*0.033</f>
        <v>1.5226200000000001</v>
      </c>
      <c r="G40" s="16">
        <f>60*41/30</f>
        <v>82</v>
      </c>
      <c r="H40" s="16">
        <f>1.47*41/30</f>
        <v>2.0089999999999999</v>
      </c>
      <c r="I40" s="16">
        <f>0.3*41/30</f>
        <v>0.41</v>
      </c>
      <c r="J40" s="17">
        <f>13.44*41/30</f>
        <v>18.367999999999999</v>
      </c>
    </row>
    <row r="41" spans="1:10" ht="16.2" thickBot="1" x14ac:dyDescent="0.35">
      <c r="A41" s="61"/>
      <c r="B41" s="62"/>
      <c r="C41" s="63"/>
      <c r="D41" s="63"/>
      <c r="E41" s="79"/>
      <c r="F41" s="80">
        <f>SUM(F34:F40)</f>
        <v>105.62902</v>
      </c>
      <c r="G41" s="64">
        <f>SUM(G34:G40)</f>
        <v>649.98</v>
      </c>
      <c r="H41" s="64">
        <f t="shared" ref="H41" si="8">SUM(H34:H40)</f>
        <v>23.089000000000002</v>
      </c>
      <c r="I41" s="64">
        <f t="shared" ref="I41" si="9">SUM(I34:I40)</f>
        <v>18.32</v>
      </c>
      <c r="J41" s="65">
        <f t="shared" ref="J41" si="10">SUM(J34:J40)</f>
        <v>97.025999999999996</v>
      </c>
    </row>
    <row r="42" spans="1:10" s="32" customFormat="1" x14ac:dyDescent="0.3">
      <c r="A42" s="31" t="s">
        <v>32</v>
      </c>
      <c r="B42" s="1"/>
      <c r="C42" s="1"/>
      <c r="D42" s="1"/>
      <c r="E42" s="33"/>
    </row>
    <row r="43" spans="1:10" x14ac:dyDescent="0.3">
      <c r="A43" s="31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  <ignoredErrors>
    <ignoredError sqref="G27 I10 F8:F9 F11:F12 F31:F32 F15 F28:F29 F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B1" sqref="B1:D1"/>
    </sheetView>
  </sheetViews>
  <sheetFormatPr defaultRowHeight="14.4" x14ac:dyDescent="0.3"/>
  <cols>
    <col min="1" max="1" width="11.77734375" style="32" bestFit="1" customWidth="1"/>
    <col min="2" max="2" width="11.5546875" style="32" customWidth="1"/>
    <col min="3" max="3" width="7.109375" style="32" bestFit="1" customWidth="1"/>
    <col min="4" max="4" width="24.6640625" style="32" bestFit="1" customWidth="1"/>
    <col min="5" max="5" width="9.5546875" style="33" customWidth="1"/>
    <col min="6" max="6" width="7.109375" style="32" bestFit="1" customWidth="1"/>
    <col min="7" max="7" width="7.6640625" style="32" customWidth="1"/>
    <col min="8" max="8" width="6.109375" style="32" bestFit="1" customWidth="1"/>
    <col min="9" max="9" width="6.5546875" style="32" customWidth="1"/>
    <col min="10" max="10" width="8.5546875" style="32" customWidth="1"/>
    <col min="11" max="16384" width="8.88671875" style="32"/>
  </cols>
  <sheetData>
    <row r="1" spans="1:10" ht="28.8" customHeight="1" x14ac:dyDescent="0.3">
      <c r="A1" s="32" t="s">
        <v>0</v>
      </c>
      <c r="B1" s="117" t="s">
        <v>63</v>
      </c>
      <c r="C1" s="118"/>
      <c r="D1" s="119"/>
      <c r="E1" s="33" t="s">
        <v>30</v>
      </c>
      <c r="F1" s="34"/>
      <c r="H1" s="32" t="s">
        <v>1</v>
      </c>
      <c r="I1" s="35" t="s">
        <v>44</v>
      </c>
    </row>
    <row r="2" spans="1:10" ht="15" thickBot="1" x14ac:dyDescent="0.35">
      <c r="B2" s="36" t="s">
        <v>34</v>
      </c>
    </row>
    <row r="3" spans="1:10" s="42" customFormat="1" ht="29.4" thickBot="1" x14ac:dyDescent="0.35">
      <c r="A3" s="37" t="s">
        <v>2</v>
      </c>
      <c r="B3" s="38" t="s">
        <v>3</v>
      </c>
      <c r="C3" s="38" t="s">
        <v>21</v>
      </c>
      <c r="D3" s="38" t="s">
        <v>4</v>
      </c>
      <c r="E3" s="39" t="s">
        <v>22</v>
      </c>
      <c r="F3" s="39" t="s">
        <v>5</v>
      </c>
      <c r="G3" s="40" t="s">
        <v>6</v>
      </c>
      <c r="H3" s="38" t="s">
        <v>7</v>
      </c>
      <c r="I3" s="38" t="s">
        <v>8</v>
      </c>
      <c r="J3" s="41" t="s">
        <v>9</v>
      </c>
    </row>
    <row r="4" spans="1:10" ht="15.6" x14ac:dyDescent="0.3">
      <c r="A4" s="6" t="s">
        <v>10</v>
      </c>
      <c r="B4" s="44" t="s">
        <v>11</v>
      </c>
      <c r="C4" s="81">
        <v>34</v>
      </c>
      <c r="D4" s="82" t="s">
        <v>35</v>
      </c>
      <c r="E4" s="67" t="s">
        <v>48</v>
      </c>
      <c r="F4" s="68">
        <f>29.07*40/54+10.71*120/106</f>
        <v>33.657861635220122</v>
      </c>
      <c r="G4" s="8">
        <v>348.8</v>
      </c>
      <c r="H4" s="8">
        <v>15.89</v>
      </c>
      <c r="I4" s="8">
        <v>20.27</v>
      </c>
      <c r="J4" s="9">
        <v>25.71</v>
      </c>
    </row>
    <row r="5" spans="1:10" ht="15.6" x14ac:dyDescent="0.3">
      <c r="A5" s="10"/>
      <c r="B5" s="46" t="s">
        <v>12</v>
      </c>
      <c r="C5" s="83">
        <v>57</v>
      </c>
      <c r="D5" s="84" t="s">
        <v>47</v>
      </c>
      <c r="E5" s="69">
        <v>200</v>
      </c>
      <c r="F5" s="70">
        <v>2.13</v>
      </c>
      <c r="G5" s="12">
        <v>41</v>
      </c>
      <c r="H5" s="12">
        <v>0</v>
      </c>
      <c r="I5" s="12">
        <v>0</v>
      </c>
      <c r="J5" s="13">
        <v>10.01</v>
      </c>
    </row>
    <row r="6" spans="1:10" ht="15.6" x14ac:dyDescent="0.3">
      <c r="A6" s="10"/>
      <c r="B6" s="46" t="s">
        <v>19</v>
      </c>
      <c r="C6" s="83" t="s">
        <v>23</v>
      </c>
      <c r="D6" s="84" t="s">
        <v>24</v>
      </c>
      <c r="E6" s="69">
        <v>30</v>
      </c>
      <c r="F6" s="70">
        <f>55.37*0.03</f>
        <v>1.6610999999999998</v>
      </c>
      <c r="G6" s="12">
        <f>40*27/20</f>
        <v>54</v>
      </c>
      <c r="H6" s="12">
        <f>0.98*27/20</f>
        <v>1.323</v>
      </c>
      <c r="I6" s="12">
        <f>0.2*27/20</f>
        <v>0.27</v>
      </c>
      <c r="J6" s="13">
        <f>8.95*27/20</f>
        <v>12.0825</v>
      </c>
    </row>
    <row r="7" spans="1:10" ht="15.6" x14ac:dyDescent="0.3">
      <c r="A7" s="10"/>
      <c r="B7" s="49"/>
      <c r="C7" s="83" t="s">
        <v>23</v>
      </c>
      <c r="D7" s="84" t="s">
        <v>28</v>
      </c>
      <c r="E7" s="69">
        <v>31</v>
      </c>
      <c r="F7" s="70">
        <v>2.5</v>
      </c>
      <c r="G7" s="12">
        <f>41.6*28/20</f>
        <v>58.239999999999995</v>
      </c>
      <c r="H7" s="12">
        <f>1.6*28/20</f>
        <v>2.2400000000000002</v>
      </c>
      <c r="I7" s="12">
        <f>0.03*28/20</f>
        <v>4.1999999999999996E-2</v>
      </c>
      <c r="J7" s="13">
        <f>8.02*28/20</f>
        <v>11.228</v>
      </c>
    </row>
    <row r="8" spans="1:10" ht="15.6" x14ac:dyDescent="0.3">
      <c r="A8" s="10"/>
      <c r="B8" s="49" t="s">
        <v>25</v>
      </c>
      <c r="C8" s="83">
        <v>4</v>
      </c>
      <c r="D8" s="84" t="s">
        <v>36</v>
      </c>
      <c r="E8" s="69">
        <v>50</v>
      </c>
      <c r="F8" s="70">
        <f>37.27*50/60</f>
        <v>31.058333333333337</v>
      </c>
      <c r="G8" s="12">
        <f>14.14*35/60</f>
        <v>8.2483333333333331</v>
      </c>
      <c r="H8" s="12">
        <f>0.66*35/60</f>
        <v>0.38500000000000001</v>
      </c>
      <c r="I8" s="12">
        <f>0.12*35/60</f>
        <v>7.0000000000000007E-2</v>
      </c>
      <c r="J8" s="13">
        <f>2.28*35/60</f>
        <v>1.3299999999999998</v>
      </c>
    </row>
    <row r="9" spans="1:10" ht="15.6" x14ac:dyDescent="0.3">
      <c r="A9" s="11"/>
      <c r="B9" s="91"/>
      <c r="C9" s="83" t="s">
        <v>23</v>
      </c>
      <c r="D9" s="84" t="s">
        <v>46</v>
      </c>
      <c r="E9" s="69">
        <v>40</v>
      </c>
      <c r="F9" s="70">
        <f>243.6*0.04*1.333</f>
        <v>12.988752</v>
      </c>
      <c r="G9" s="19">
        <f>127.12</f>
        <v>127.12</v>
      </c>
      <c r="H9" s="19">
        <f>2.14</f>
        <v>2.14</v>
      </c>
      <c r="I9" s="19">
        <f>2.8</f>
        <v>2.8</v>
      </c>
      <c r="J9" s="60">
        <f>23.34</f>
        <v>23.34</v>
      </c>
    </row>
    <row r="10" spans="1:10" ht="16.2" thickBot="1" x14ac:dyDescent="0.35">
      <c r="A10" s="10"/>
      <c r="B10" s="99"/>
      <c r="C10" s="100"/>
      <c r="D10" s="101"/>
      <c r="E10" s="102"/>
      <c r="F10" s="103">
        <f>SUM(F4:F9)</f>
        <v>83.996046968553458</v>
      </c>
      <c r="G10" s="104">
        <f>SUM(G4:G9)</f>
        <v>637.4083333333333</v>
      </c>
      <c r="H10" s="104">
        <f>SUM(H4:H9)</f>
        <v>21.978000000000005</v>
      </c>
      <c r="I10" s="104">
        <f>SUM(I4:I9)</f>
        <v>23.452000000000002</v>
      </c>
      <c r="J10" s="104">
        <f>SUM(J4:J9)</f>
        <v>83.700499999999991</v>
      </c>
    </row>
    <row r="11" spans="1:10" ht="15.6" x14ac:dyDescent="0.3">
      <c r="A11" s="43"/>
      <c r="B11" s="44" t="s">
        <v>11</v>
      </c>
      <c r="C11" s="81">
        <v>34</v>
      </c>
      <c r="D11" s="82" t="s">
        <v>35</v>
      </c>
      <c r="E11" s="67" t="s">
        <v>43</v>
      </c>
      <c r="F11" s="68">
        <f>36.25*40/67+12.93*160/133</f>
        <v>37.196678262821237</v>
      </c>
      <c r="G11" s="8">
        <v>348.8</v>
      </c>
      <c r="H11" s="8">
        <v>15.89</v>
      </c>
      <c r="I11" s="8">
        <v>20.27</v>
      </c>
      <c r="J11" s="9">
        <v>25.71</v>
      </c>
    </row>
    <row r="12" spans="1:10" ht="15.6" x14ac:dyDescent="0.3">
      <c r="A12" s="45"/>
      <c r="B12" s="46" t="s">
        <v>27</v>
      </c>
      <c r="C12" s="87">
        <v>25</v>
      </c>
      <c r="D12" s="88" t="s">
        <v>54</v>
      </c>
      <c r="E12" s="74" t="s">
        <v>52</v>
      </c>
      <c r="F12" s="70">
        <v>15.72</v>
      </c>
      <c r="G12" s="12">
        <v>136</v>
      </c>
      <c r="H12" s="12">
        <v>0.6</v>
      </c>
      <c r="I12" s="12">
        <v>0</v>
      </c>
      <c r="J12" s="13">
        <v>33</v>
      </c>
    </row>
    <row r="13" spans="1:10" ht="15.6" x14ac:dyDescent="0.3">
      <c r="A13" s="45"/>
      <c r="B13" s="49" t="s">
        <v>25</v>
      </c>
      <c r="C13" s="83">
        <v>4</v>
      </c>
      <c r="D13" s="84" t="s">
        <v>36</v>
      </c>
      <c r="E13" s="69">
        <v>60</v>
      </c>
      <c r="F13" s="70">
        <f>37.27*60/60</f>
        <v>37.270000000000003</v>
      </c>
      <c r="G13" s="12">
        <f>14.14*50/60</f>
        <v>11.783333333333333</v>
      </c>
      <c r="H13" s="12">
        <f>0.66*50/60</f>
        <v>0.55000000000000004</v>
      </c>
      <c r="I13" s="12">
        <f>0.12*50/60</f>
        <v>0.1</v>
      </c>
      <c r="J13" s="13">
        <f>2.28*50/60</f>
        <v>1.8999999999999997</v>
      </c>
    </row>
    <row r="14" spans="1:10" ht="15.6" x14ac:dyDescent="0.3">
      <c r="A14" s="45"/>
      <c r="B14" s="46"/>
      <c r="C14" s="83" t="s">
        <v>23</v>
      </c>
      <c r="D14" s="84" t="s">
        <v>46</v>
      </c>
      <c r="E14" s="69">
        <v>20</v>
      </c>
      <c r="F14" s="70">
        <f>243.6*0.02*1.33</f>
        <v>6.4797600000000006</v>
      </c>
      <c r="G14" s="19">
        <f>127.12</f>
        <v>127.12</v>
      </c>
      <c r="H14" s="19">
        <f>2.14</f>
        <v>2.14</v>
      </c>
      <c r="I14" s="19">
        <f>2.8</f>
        <v>2.8</v>
      </c>
      <c r="J14" s="60">
        <f>23.34</f>
        <v>23.34</v>
      </c>
    </row>
    <row r="15" spans="1:10" ht="15.6" x14ac:dyDescent="0.3">
      <c r="A15" s="45"/>
      <c r="B15" s="46" t="s">
        <v>20</v>
      </c>
      <c r="C15" s="83" t="s">
        <v>23</v>
      </c>
      <c r="D15" s="84" t="s">
        <v>28</v>
      </c>
      <c r="E15" s="107" t="s">
        <v>55</v>
      </c>
      <c r="F15" s="108">
        <f>81.6*0.03</f>
        <v>2.448</v>
      </c>
      <c r="G15" s="47">
        <f>62.4*31/30</f>
        <v>64.47999999999999</v>
      </c>
      <c r="H15" s="47">
        <f>2.4*31/30</f>
        <v>2.4799999999999995</v>
      </c>
      <c r="I15" s="47">
        <f>0.45*31/30</f>
        <v>0.46500000000000002</v>
      </c>
      <c r="J15" s="48">
        <f>11.37*31/30</f>
        <v>11.748999999999999</v>
      </c>
    </row>
    <row r="16" spans="1:10" ht="15.6" x14ac:dyDescent="0.3">
      <c r="A16" s="45"/>
      <c r="B16" s="52" t="s">
        <v>18</v>
      </c>
      <c r="C16" s="105" t="s">
        <v>23</v>
      </c>
      <c r="D16" s="106" t="s">
        <v>24</v>
      </c>
      <c r="E16" s="109" t="s">
        <v>55</v>
      </c>
      <c r="F16" s="110">
        <f>55.37*0.03</f>
        <v>1.6610999999999998</v>
      </c>
      <c r="G16" s="50">
        <f>60*31/30</f>
        <v>62</v>
      </c>
      <c r="H16" s="50">
        <f>1.47*31/30</f>
        <v>1.5189999999999999</v>
      </c>
      <c r="I16" s="50">
        <f>0.3*31/30</f>
        <v>0.30999999999999994</v>
      </c>
      <c r="J16" s="51">
        <f>13.44*31/30</f>
        <v>13.888</v>
      </c>
    </row>
    <row r="17" spans="1:10" ht="16.2" thickBot="1" x14ac:dyDescent="0.35">
      <c r="A17" s="53"/>
      <c r="B17" s="54"/>
      <c r="C17" s="55"/>
      <c r="D17" s="55"/>
      <c r="E17" s="111"/>
      <c r="F17" s="112">
        <v>100</v>
      </c>
      <c r="G17" s="57">
        <f>SUM(G11:G16)</f>
        <v>750.18333333333339</v>
      </c>
      <c r="H17" s="57">
        <f>SUM(H11:H16)</f>
        <v>23.179000000000002</v>
      </c>
      <c r="I17" s="57">
        <f>SUM(I11:I16)</f>
        <v>23.945</v>
      </c>
      <c r="J17" s="58">
        <f>SUM(J11:J16)</f>
        <v>109.587</v>
      </c>
    </row>
    <row r="18" spans="1:10" ht="34.799999999999997" customHeight="1" thickBot="1" x14ac:dyDescent="0.35">
      <c r="A18" s="43"/>
      <c r="B18" s="59" t="s">
        <v>15</v>
      </c>
      <c r="C18" s="87">
        <v>22</v>
      </c>
      <c r="D18" s="88" t="s">
        <v>41</v>
      </c>
      <c r="E18" s="74" t="s">
        <v>50</v>
      </c>
      <c r="F18" s="70">
        <f>12.76*235/250+2.3+12.24*1.5</f>
        <v>32.654399999999995</v>
      </c>
      <c r="G18" s="12">
        <v>108.5</v>
      </c>
      <c r="H18" s="12">
        <v>1.75</v>
      </c>
      <c r="I18" s="12">
        <v>6.05</v>
      </c>
      <c r="J18" s="13">
        <v>11.86</v>
      </c>
    </row>
    <row r="19" spans="1:10" ht="15.6" x14ac:dyDescent="0.3">
      <c r="A19" s="45"/>
      <c r="B19" s="44" t="s">
        <v>16</v>
      </c>
      <c r="C19" s="81">
        <v>34</v>
      </c>
      <c r="D19" s="82" t="s">
        <v>35</v>
      </c>
      <c r="E19" s="67" t="s">
        <v>43</v>
      </c>
      <c r="F19" s="68">
        <f>36.25*40/67+12.93*160/133</f>
        <v>37.196678262821237</v>
      </c>
      <c r="G19" s="8">
        <v>348.8</v>
      </c>
      <c r="H19" s="8">
        <v>15.89</v>
      </c>
      <c r="I19" s="8">
        <v>20.27</v>
      </c>
      <c r="J19" s="9">
        <v>25.71</v>
      </c>
    </row>
    <row r="20" spans="1:10" ht="15.6" x14ac:dyDescent="0.3">
      <c r="A20" s="45"/>
      <c r="B20" s="46" t="s">
        <v>27</v>
      </c>
      <c r="C20" s="87">
        <v>25</v>
      </c>
      <c r="D20" s="88" t="s">
        <v>54</v>
      </c>
      <c r="E20" s="74" t="s">
        <v>52</v>
      </c>
      <c r="F20" s="70">
        <v>15.72</v>
      </c>
      <c r="G20" s="12">
        <v>136</v>
      </c>
      <c r="H20" s="12">
        <v>0.6</v>
      </c>
      <c r="I20" s="12">
        <v>0</v>
      </c>
      <c r="J20" s="13">
        <v>33</v>
      </c>
    </row>
    <row r="21" spans="1:10" ht="15.6" x14ac:dyDescent="0.3">
      <c r="A21" s="45"/>
      <c r="B21" s="49" t="s">
        <v>25</v>
      </c>
      <c r="C21" s="83">
        <v>4</v>
      </c>
      <c r="D21" s="84" t="s">
        <v>36</v>
      </c>
      <c r="E21" s="69">
        <v>45</v>
      </c>
      <c r="F21" s="70">
        <f>37.27*45/60</f>
        <v>27.952500000000001</v>
      </c>
      <c r="G21" s="12">
        <f>14.14*50/60</f>
        <v>11.783333333333333</v>
      </c>
      <c r="H21" s="12">
        <f>0.66*50/60</f>
        <v>0.55000000000000004</v>
      </c>
      <c r="I21" s="12">
        <f>0.12*50/60</f>
        <v>0.1</v>
      </c>
      <c r="J21" s="13">
        <f>2.28*50/60</f>
        <v>1.8999999999999997</v>
      </c>
    </row>
    <row r="22" spans="1:10" ht="15.6" x14ac:dyDescent="0.3">
      <c r="A22" s="45"/>
      <c r="B22" s="46" t="s">
        <v>20</v>
      </c>
      <c r="C22" s="83" t="s">
        <v>23</v>
      </c>
      <c r="D22" s="84" t="s">
        <v>28</v>
      </c>
      <c r="E22" s="107" t="s">
        <v>62</v>
      </c>
      <c r="F22" s="108">
        <f>81.6*0.037</f>
        <v>3.0191999999999997</v>
      </c>
      <c r="G22" s="47">
        <f>62.4*37/30</f>
        <v>76.959999999999994</v>
      </c>
      <c r="H22" s="47">
        <f>2.4*37/30</f>
        <v>2.96</v>
      </c>
      <c r="I22" s="47">
        <f>0.45*37/30</f>
        <v>0.55500000000000005</v>
      </c>
      <c r="J22" s="48">
        <f>11.37*37/30</f>
        <v>14.023</v>
      </c>
    </row>
    <row r="23" spans="1:10" ht="15.6" x14ac:dyDescent="0.3">
      <c r="A23" s="45"/>
      <c r="B23" s="52" t="s">
        <v>18</v>
      </c>
      <c r="C23" s="105" t="s">
        <v>23</v>
      </c>
      <c r="D23" s="106" t="s">
        <v>24</v>
      </c>
      <c r="E23" s="109" t="s">
        <v>56</v>
      </c>
      <c r="F23" s="110">
        <v>1.98</v>
      </c>
      <c r="G23" s="50">
        <f>60*39/30</f>
        <v>78</v>
      </c>
      <c r="H23" s="50">
        <f>1.47*36/30</f>
        <v>1.764</v>
      </c>
      <c r="I23" s="50">
        <f>0.3*36/30</f>
        <v>0.36</v>
      </c>
      <c r="J23" s="51">
        <f>13.44*36/30</f>
        <v>16.128</v>
      </c>
    </row>
    <row r="24" spans="1:10" ht="15.6" x14ac:dyDescent="0.3">
      <c r="A24" s="45"/>
      <c r="B24" s="52"/>
      <c r="C24" s="83" t="s">
        <v>23</v>
      </c>
      <c r="D24" s="84" t="s">
        <v>46</v>
      </c>
      <c r="E24" s="69">
        <v>20</v>
      </c>
      <c r="F24" s="70">
        <f>243.6*0.02*1.33</f>
        <v>6.4797600000000006</v>
      </c>
      <c r="G24" s="19">
        <f>127.12</f>
        <v>127.12</v>
      </c>
      <c r="H24" s="19">
        <f>2.14</f>
        <v>2.14</v>
      </c>
      <c r="I24" s="19">
        <f>2.8</f>
        <v>2.8</v>
      </c>
      <c r="J24" s="60">
        <f>23.34</f>
        <v>23.34</v>
      </c>
    </row>
    <row r="25" spans="1:10" ht="16.2" thickBot="1" x14ac:dyDescent="0.35">
      <c r="A25" s="53"/>
      <c r="B25" s="54"/>
      <c r="C25" s="55"/>
      <c r="D25" s="55"/>
      <c r="E25" s="56"/>
      <c r="F25" s="113">
        <f>SUM(F18:F24)</f>
        <v>125.00253826282123</v>
      </c>
      <c r="G25" s="57">
        <f>SUM(G18:G24)</f>
        <v>887.1633333333333</v>
      </c>
      <c r="H25" s="57">
        <f>SUM(H18:H24)</f>
        <v>25.654000000000003</v>
      </c>
      <c r="I25" s="57">
        <f>SUM(I18:I24)</f>
        <v>30.135000000000002</v>
      </c>
      <c r="J25" s="58">
        <f>SUM(J18:J24)</f>
        <v>125.961</v>
      </c>
    </row>
    <row r="26" spans="1:10" s="1" customFormat="1" x14ac:dyDescent="0.3">
      <c r="E26" s="23"/>
    </row>
    <row r="27" spans="1:10" s="1" customFormat="1" x14ac:dyDescent="0.3">
      <c r="A27" s="31" t="s">
        <v>32</v>
      </c>
      <c r="E27" s="23"/>
    </row>
    <row r="28" spans="1:10" s="1" customFormat="1" x14ac:dyDescent="0.3">
      <c r="E28" s="23"/>
    </row>
    <row r="29" spans="1:10" s="1" customFormat="1" x14ac:dyDescent="0.3">
      <c r="A29" s="31" t="s">
        <v>33</v>
      </c>
      <c r="E29" s="23"/>
    </row>
    <row r="30" spans="1:10" s="1" customFormat="1" x14ac:dyDescent="0.3">
      <c r="E30" s="23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21:G21 F9 F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2021-12-20T02:11:15Z</cp:lastPrinted>
  <dcterms:created xsi:type="dcterms:W3CDTF">2015-06-05T18:19:34Z</dcterms:created>
  <dcterms:modified xsi:type="dcterms:W3CDTF">2022-09-21T05:31:30Z</dcterms:modified>
</cp:coreProperties>
</file>