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BA378F06-7FFF-4E77-A0E3-FB5054EC6A0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44" i="1"/>
  <c r="F37" i="1"/>
  <c r="F38" i="1"/>
  <c r="F22" i="1"/>
  <c r="F15" i="1"/>
  <c r="F16" i="1"/>
  <c r="F16" i="2"/>
  <c r="F17" i="2"/>
  <c r="F18" i="2"/>
  <c r="F6" i="2"/>
  <c r="F7" i="2"/>
  <c r="F10" i="2"/>
  <c r="F28" i="1"/>
  <c r="F31" i="1"/>
  <c r="F32" i="1"/>
  <c r="F6" i="1"/>
  <c r="F9" i="1"/>
  <c r="F10" i="1"/>
  <c r="G20" i="2"/>
  <c r="H20" i="2"/>
  <c r="F21" i="2"/>
  <c r="F23" i="2"/>
  <c r="J19" i="2"/>
  <c r="I19" i="2"/>
  <c r="H19" i="2"/>
  <c r="G19" i="2"/>
  <c r="F14" i="2"/>
  <c r="F12" i="2"/>
  <c r="F9" i="2"/>
  <c r="F8" i="2"/>
  <c r="F39" i="1"/>
  <c r="F41" i="1"/>
  <c r="F40" i="1"/>
  <c r="F35" i="1"/>
  <c r="J33" i="1"/>
  <c r="I33" i="1"/>
  <c r="H33" i="1"/>
  <c r="G33" i="1"/>
  <c r="F30" i="1"/>
  <c r="F11" i="1"/>
  <c r="F19" i="1"/>
  <c r="F18" i="1"/>
  <c r="F17" i="1"/>
  <c r="F45" i="1" l="1"/>
  <c r="F11" i="2"/>
  <c r="F33" i="1"/>
  <c r="F23" i="1"/>
  <c r="F8" i="1"/>
  <c r="F25" i="2"/>
  <c r="F22" i="2"/>
  <c r="F26" i="2"/>
  <c r="J23" i="2" l="1"/>
  <c r="I23" i="2"/>
  <c r="H23" i="2"/>
  <c r="G23" i="2"/>
  <c r="J26" i="2"/>
  <c r="I26" i="2"/>
  <c r="H26" i="2"/>
  <c r="G26" i="2"/>
  <c r="J25" i="2"/>
  <c r="I25" i="2"/>
  <c r="H25" i="2"/>
  <c r="G25" i="2"/>
  <c r="J21" i="2"/>
  <c r="I21" i="2"/>
  <c r="H21" i="2"/>
  <c r="G21" i="2"/>
  <c r="J44" i="1"/>
  <c r="I44" i="1"/>
  <c r="H44" i="1"/>
  <c r="G44" i="1"/>
  <c r="J43" i="1"/>
  <c r="I43" i="1"/>
  <c r="H43" i="1"/>
  <c r="G43" i="1"/>
  <c r="J37" i="1"/>
  <c r="I37" i="1"/>
  <c r="H37" i="1"/>
  <c r="G37" i="1"/>
  <c r="J22" i="1" l="1"/>
  <c r="I22" i="1"/>
  <c r="H22" i="1"/>
  <c r="G22" i="1"/>
  <c r="J21" i="1"/>
  <c r="I21" i="1"/>
  <c r="H21" i="1"/>
  <c r="G21" i="1"/>
  <c r="J17" i="1"/>
  <c r="I17" i="1"/>
  <c r="H17" i="1"/>
  <c r="G17" i="1"/>
  <c r="J15" i="1"/>
  <c r="I15" i="1"/>
  <c r="H15" i="1"/>
  <c r="G15" i="1"/>
  <c r="J9" i="1"/>
  <c r="I9" i="1"/>
  <c r="H9" i="1"/>
  <c r="G9" i="1"/>
  <c r="J22" i="2" l="1"/>
  <c r="I22" i="2"/>
  <c r="H22" i="2"/>
  <c r="G22" i="2"/>
  <c r="G27" i="2" s="1"/>
  <c r="J27" i="2"/>
  <c r="I27" i="2"/>
  <c r="H27" i="2"/>
  <c r="J17" i="2"/>
  <c r="J16" i="2"/>
  <c r="I17" i="2"/>
  <c r="I16" i="2"/>
  <c r="H17" i="2"/>
  <c r="H16" i="2"/>
  <c r="G17" i="2"/>
  <c r="G16" i="2"/>
  <c r="J13" i="2"/>
  <c r="I13" i="2"/>
  <c r="H13" i="2"/>
  <c r="G13" i="2"/>
  <c r="J7" i="2"/>
  <c r="J6" i="2"/>
  <c r="I7" i="2"/>
  <c r="I6" i="2"/>
  <c r="H7" i="2"/>
  <c r="H6" i="2"/>
  <c r="G7" i="2"/>
  <c r="G6" i="2"/>
  <c r="J20" i="2"/>
  <c r="I20" i="2"/>
  <c r="J14" i="2"/>
  <c r="I14" i="2"/>
  <c r="H14" i="2"/>
  <c r="G14" i="2"/>
  <c r="J12" i="2"/>
  <c r="I12" i="2"/>
  <c r="H12" i="2"/>
  <c r="G12" i="2"/>
  <c r="J9" i="2"/>
  <c r="I9" i="2"/>
  <c r="H9" i="2"/>
  <c r="G9" i="2"/>
  <c r="J8" i="2"/>
  <c r="I8" i="2"/>
  <c r="H8" i="2"/>
  <c r="G8" i="2"/>
  <c r="J11" i="2" l="1"/>
  <c r="G11" i="2"/>
  <c r="H11" i="2"/>
  <c r="I11" i="2"/>
  <c r="J41" i="1"/>
  <c r="I41" i="1"/>
  <c r="H41" i="1"/>
  <c r="G41" i="1"/>
  <c r="J39" i="1"/>
  <c r="I39" i="1"/>
  <c r="H39" i="1"/>
  <c r="G39" i="1"/>
  <c r="J35" i="1"/>
  <c r="I35" i="1"/>
  <c r="H35" i="1"/>
  <c r="G35" i="1"/>
  <c r="J29" i="1"/>
  <c r="J28" i="1"/>
  <c r="I29" i="1"/>
  <c r="I28" i="1"/>
  <c r="H29" i="1"/>
  <c r="H28" i="1"/>
  <c r="G29" i="1"/>
  <c r="G28" i="1"/>
  <c r="J42" i="1"/>
  <c r="I42" i="1"/>
  <c r="H42" i="1"/>
  <c r="G42" i="1"/>
  <c r="J40" i="1"/>
  <c r="I40" i="1"/>
  <c r="H40" i="1"/>
  <c r="G40" i="1"/>
  <c r="J38" i="1"/>
  <c r="J45" i="1" s="1"/>
  <c r="I38" i="1"/>
  <c r="I45" i="1" s="1"/>
  <c r="H38" i="1"/>
  <c r="G38" i="1"/>
  <c r="J36" i="1"/>
  <c r="I36" i="1"/>
  <c r="H36" i="1"/>
  <c r="G36" i="1"/>
  <c r="J31" i="1"/>
  <c r="I31" i="1"/>
  <c r="H31" i="1"/>
  <c r="G31" i="1"/>
  <c r="J30" i="1"/>
  <c r="I30" i="1"/>
  <c r="H30" i="1"/>
  <c r="G30" i="1"/>
  <c r="J20" i="1"/>
  <c r="I20" i="1"/>
  <c r="H20" i="1"/>
  <c r="G20" i="1"/>
  <c r="J19" i="1"/>
  <c r="I19" i="1"/>
  <c r="H19" i="1"/>
  <c r="G19" i="1"/>
  <c r="J18" i="1"/>
  <c r="I18" i="1"/>
  <c r="H18" i="1"/>
  <c r="G18" i="1"/>
  <c r="J16" i="1"/>
  <c r="I16" i="1"/>
  <c r="H16" i="1"/>
  <c r="G16" i="1"/>
  <c r="J13" i="1"/>
  <c r="J14" i="1" s="1"/>
  <c r="I13" i="1"/>
  <c r="I14" i="1" s="1"/>
  <c r="H13" i="1"/>
  <c r="H14" i="1" s="1"/>
  <c r="G13" i="1"/>
  <c r="G14" i="1" s="1"/>
  <c r="G8" i="1"/>
  <c r="J8" i="1"/>
  <c r="I8" i="1"/>
  <c r="H8" i="1"/>
  <c r="J7" i="1"/>
  <c r="I7" i="1"/>
  <c r="H7" i="1"/>
  <c r="G7" i="1"/>
  <c r="G6" i="1"/>
  <c r="J6" i="1"/>
  <c r="I6" i="1"/>
  <c r="H6" i="1"/>
  <c r="I11" i="1" l="1"/>
  <c r="J11" i="1"/>
  <c r="G23" i="1"/>
  <c r="G11" i="1"/>
  <c r="H11" i="1"/>
  <c r="H23" i="1"/>
  <c r="I23" i="1"/>
  <c r="J23" i="1"/>
  <c r="G45" i="1"/>
  <c r="H45" i="1"/>
</calcChain>
</file>

<file path=xl/sharedStrings.xml><?xml version="1.0" encoding="utf-8"?>
<sst xmlns="http://schemas.openxmlformats.org/spreadsheetml/2006/main" count="189" uniqueCount="64">
  <si>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</si>
  <si>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</si>
  <si>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</si>
  <si>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</si>
  <si>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</si>
  <si>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</si>
  <si>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</si>
  <si>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</si>
  <si>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</si>
  <si>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</si>
  <si>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</si>
  <si>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</si>
  <si>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</si>
  <si>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</si>
  <si>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</si>
  <si>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</si>
  <si>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</si>
  <si>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</si>
  <si>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</si>
  <si>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</si>
  <si>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</si>
  <si>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</si>
  <si>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</si>
  <si>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</si>
  <si>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</si>
  <si>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</si>
  <si>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</si>
  <si>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</si>
  <si>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</si>
  <si>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</si>
  <si>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</si>
  <si>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</si>
  <si>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</si>
  <si>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</si>
  <si>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</si>
  <si>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</si>
  <si>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</si>
  <si>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Икра кабачковая</t>
  </si>
  <si>
    <t>Соус сметанный с томатом</t>
  </si>
  <si>
    <t>Рис отварной с овощами</t>
  </si>
  <si>
    <t>Пицца школьная</t>
  </si>
  <si>
    <t>25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</si>
  <si>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</si>
  <si>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</si>
  <si>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</si>
  <si>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</si>
  <si>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</si>
  <si>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90</t>
  </si>
  <si>
    <t>30</t>
  </si>
  <si>
    <t>100/80</t>
  </si>
  <si>
    <t>Яблоко</t>
  </si>
  <si>
    <t>80/80</t>
  </si>
  <si>
    <t>120</t>
  </si>
  <si>
    <t>55</t>
  </si>
  <si>
    <t>Творожное печенье</t>
  </si>
  <si>
    <t>29</t>
  </si>
  <si>
    <t>Щи из свежей капусты со сметаной</t>
  </si>
  <si>
    <t>250/5</t>
  </si>
  <si>
    <t>33</t>
  </si>
  <si>
    <t>32</t>
  </si>
  <si>
    <t>37</t>
  </si>
  <si>
    <t>36</t>
  </si>
  <si>
    <t xml:space="preserve">Щи из свежей капусты со сметаной 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</si>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</sst>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2" fontId="6" fillId="0" borderId="6" xfId="0" applyNumberFormat="1" applyFont="1" applyFill="1" applyBorder="1" applyProtection="1">
      <protection locked="0"/>
    </xf>
    <xf numFmtId="2" fontId="6" fillId="0" borderId="1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2" fontId="6" fillId="0" borderId="18" xfId="0" applyNumberFormat="1" applyFont="1" applyFill="1" applyBorder="1"/>
    <xf numFmtId="2" fontId="6" fillId="0" borderId="11" xfId="0" applyNumberFormat="1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2" fontId="7" fillId="0" borderId="14" xfId="0" applyNumberFormat="1" applyFont="1" applyFill="1" applyBorder="1" applyProtection="1">
      <protection locked="0"/>
    </xf>
    <xf numFmtId="49" fontId="6" fillId="0" borderId="1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wrapText="1"/>
    </xf>
    <xf numFmtId="1" fontId="8" fillId="0" borderId="4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9"/>
  <sheetViews>
    <sheetView zoomScale="115" zoomScaleNormal="115" workbookViewId="0">
      <selection activeCell="K3" sqref="K3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33" bestFit="1" customWidth="1"/>
    <col min="6" max="6" width="8.7109375" style="1" bestFit="1" customWidth="1"/>
    <col min="7" max="7" width="7.7109375" style="1" customWidth="1"/>
    <col min="8" max="8" width="6.140625" style="1" bestFit="1" customWidth="1"/>
    <col min="9" max="9" width="10.8554687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22" t="s">
        <v>63</v>
      </c>
      <c r="C1" s="123"/>
      <c r="D1" s="124"/>
      <c r="E1" s="33" t="s">
        <v>42</v>
      </c>
      <c r="F1" s="32"/>
      <c r="H1" s="1" t="s">
        <v>1</v>
      </c>
      <c r="I1" s="31">
        <v>44594</v>
      </c>
    </row>
    <row r="2" spans="1:10" ht="15.75" thickBot="1" x14ac:dyDescent="0.3">
      <c r="B2" s="2" t="s">
        <v>34</v>
      </c>
    </row>
    <row r="3" spans="1:10" s="40" customFormat="1" ht="30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41" t="s">
        <v>22</v>
      </c>
      <c r="F3" s="41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 ht="30" x14ac:dyDescent="0.25">
      <c r="A4" s="6" t="s">
        <v>10</v>
      </c>
      <c r="B4" s="7" t="s">
        <v>11</v>
      </c>
      <c r="C4" s="8">
        <v>53</v>
      </c>
      <c r="D4" s="9" t="s">
        <v>35</v>
      </c>
      <c r="E4" s="42">
        <v>200</v>
      </c>
      <c r="F4" s="43">
        <v>13.99</v>
      </c>
      <c r="G4" s="10">
        <v>146</v>
      </c>
      <c r="H4" s="10">
        <v>5.7</v>
      </c>
      <c r="I4" s="10">
        <v>5.28</v>
      </c>
      <c r="J4" s="11">
        <v>18.88</v>
      </c>
    </row>
    <row r="5" spans="1:10" x14ac:dyDescent="0.25">
      <c r="A5" s="12"/>
      <c r="B5" s="13" t="s">
        <v>12</v>
      </c>
      <c r="C5" s="14">
        <v>30</v>
      </c>
      <c r="D5" s="15" t="s">
        <v>36</v>
      </c>
      <c r="E5" s="44">
        <v>200</v>
      </c>
      <c r="F5" s="45">
        <v>3</v>
      </c>
      <c r="G5" s="16">
        <v>43</v>
      </c>
      <c r="H5" s="16">
        <v>0.06</v>
      </c>
      <c r="I5" s="16">
        <v>0.01</v>
      </c>
      <c r="J5" s="17">
        <v>10.220000000000001</v>
      </c>
    </row>
    <row r="6" spans="1:10" x14ac:dyDescent="0.25">
      <c r="A6" s="12"/>
      <c r="B6" s="13" t="s">
        <v>19</v>
      </c>
      <c r="C6" s="14" t="s">
        <v>23</v>
      </c>
      <c r="D6" s="15" t="s">
        <v>24</v>
      </c>
      <c r="E6" s="44">
        <v>30</v>
      </c>
      <c r="F6" s="45">
        <f>46.14*0.03</f>
        <v>1.3841999999999999</v>
      </c>
      <c r="G6" s="16">
        <f>40*25/20</f>
        <v>50</v>
      </c>
      <c r="H6" s="16">
        <f>0.98*25/20</f>
        <v>1.2250000000000001</v>
      </c>
      <c r="I6" s="16">
        <f>0.2*25/20</f>
        <v>0.25</v>
      </c>
      <c r="J6" s="17">
        <f>8.95*25/20</f>
        <v>11.187499999999998</v>
      </c>
    </row>
    <row r="7" spans="1:10" x14ac:dyDescent="0.25">
      <c r="A7" s="12"/>
      <c r="B7" s="18"/>
      <c r="C7" s="14" t="s">
        <v>23</v>
      </c>
      <c r="D7" s="15" t="s">
        <v>25</v>
      </c>
      <c r="E7" s="44">
        <v>31</v>
      </c>
      <c r="F7" s="45">
        <v>2.72</v>
      </c>
      <c r="G7" s="16">
        <f>41.6*26/20</f>
        <v>54.080000000000005</v>
      </c>
      <c r="H7" s="16">
        <f>1.6*26/20</f>
        <v>2.08</v>
      </c>
      <c r="I7" s="16">
        <f>0.03*26/20</f>
        <v>3.9E-2</v>
      </c>
      <c r="J7" s="17">
        <f>8.02*25/20</f>
        <v>10.025</v>
      </c>
    </row>
    <row r="8" spans="1:10" x14ac:dyDescent="0.25">
      <c r="A8" s="12"/>
      <c r="B8" s="19" t="s">
        <v>26</v>
      </c>
      <c r="C8" s="20" t="s">
        <v>23</v>
      </c>
      <c r="D8" s="21" t="s">
        <v>50</v>
      </c>
      <c r="E8" s="46">
        <v>100</v>
      </c>
      <c r="F8" s="47">
        <f>171.6*0.1</f>
        <v>17.16</v>
      </c>
      <c r="G8" s="22">
        <f>96*1.39</f>
        <v>133.44</v>
      </c>
      <c r="H8" s="22">
        <f>1.5*1.39</f>
        <v>2.085</v>
      </c>
      <c r="I8" s="22">
        <f>0.5*1.39</f>
        <v>0.69499999999999995</v>
      </c>
      <c r="J8" s="23">
        <f>21*1.39</f>
        <v>29.189999999999998</v>
      </c>
    </row>
    <row r="9" spans="1:10" x14ac:dyDescent="0.25">
      <c r="A9" s="24"/>
      <c r="B9" s="18"/>
      <c r="C9" s="14">
        <v>6</v>
      </c>
      <c r="D9" s="15" t="s">
        <v>27</v>
      </c>
      <c r="E9" s="44">
        <v>16</v>
      </c>
      <c r="F9" s="45">
        <f>9.72*17/12</f>
        <v>13.770000000000001</v>
      </c>
      <c r="G9" s="16">
        <f>36*17/12</f>
        <v>51</v>
      </c>
      <c r="H9" s="16">
        <f>1.36*17/12</f>
        <v>1.9266666666666667</v>
      </c>
      <c r="I9" s="16">
        <f>2.76*17/12</f>
        <v>3.9099999999999997</v>
      </c>
      <c r="J9" s="16">
        <f>0.31*17/12</f>
        <v>0.43916666666666665</v>
      </c>
    </row>
    <row r="10" spans="1:10" x14ac:dyDescent="0.25">
      <c r="A10" s="24"/>
      <c r="B10" s="25"/>
      <c r="C10" s="26" t="s">
        <v>23</v>
      </c>
      <c r="D10" s="27" t="s">
        <v>54</v>
      </c>
      <c r="E10" s="48">
        <v>57</v>
      </c>
      <c r="F10" s="49">
        <f>150*0.057</f>
        <v>8.5500000000000007</v>
      </c>
      <c r="G10" s="28">
        <v>289.48</v>
      </c>
      <c r="H10" s="28">
        <v>7.06</v>
      </c>
      <c r="I10" s="28">
        <v>19.760000000000002</v>
      </c>
      <c r="J10" s="28">
        <v>7.06</v>
      </c>
    </row>
    <row r="11" spans="1:10" ht="15.75" thickBot="1" x14ac:dyDescent="0.3">
      <c r="A11" s="12"/>
      <c r="B11" s="25"/>
      <c r="C11" s="26"/>
      <c r="D11" s="27"/>
      <c r="E11" s="48"/>
      <c r="F11" s="49">
        <f>SUM(F4:F10)</f>
        <v>60.574200000000005</v>
      </c>
      <c r="G11" s="28">
        <f>SUM(G4:G10)</f>
        <v>767</v>
      </c>
      <c r="H11" s="28">
        <f>SUM(H4:H10)</f>
        <v>20.136666666666663</v>
      </c>
      <c r="I11" s="28">
        <f>SUM(I4:I10)</f>
        <v>29.944000000000003</v>
      </c>
      <c r="J11" s="28">
        <f>SUM(J4:J10)</f>
        <v>87.001666666666665</v>
      </c>
    </row>
    <row r="12" spans="1:10" x14ac:dyDescent="0.25">
      <c r="A12" s="6" t="s">
        <v>28</v>
      </c>
      <c r="B12" s="7"/>
      <c r="C12" s="8">
        <v>25</v>
      </c>
      <c r="D12" s="9" t="s">
        <v>32</v>
      </c>
      <c r="E12" s="42">
        <v>200</v>
      </c>
      <c r="F12" s="43">
        <v>11.82</v>
      </c>
      <c r="G12" s="10">
        <v>136</v>
      </c>
      <c r="H12" s="10">
        <v>0.6</v>
      </c>
      <c r="I12" s="10">
        <v>0</v>
      </c>
      <c r="J12" s="11">
        <v>33</v>
      </c>
    </row>
    <row r="13" spans="1:10" x14ac:dyDescent="0.25">
      <c r="A13" s="24"/>
      <c r="B13" s="18"/>
      <c r="C13" s="14">
        <v>76</v>
      </c>
      <c r="D13" s="15" t="s">
        <v>40</v>
      </c>
      <c r="E13" s="44">
        <v>100</v>
      </c>
      <c r="F13" s="45">
        <v>34.81</v>
      </c>
      <c r="G13" s="16">
        <f>245*1.05</f>
        <v>257.25</v>
      </c>
      <c r="H13" s="16">
        <f>12.45*1.05</f>
        <v>13.0725</v>
      </c>
      <c r="I13" s="16">
        <f>8.59*1.05</f>
        <v>9.0195000000000007</v>
      </c>
      <c r="J13" s="17">
        <f>6.33*1.05</f>
        <v>6.6465000000000005</v>
      </c>
    </row>
    <row r="14" spans="1:10" ht="15.75" thickBot="1" x14ac:dyDescent="0.3">
      <c r="A14" s="34"/>
      <c r="B14" s="19"/>
      <c r="C14" s="20"/>
      <c r="D14" s="21"/>
      <c r="E14" s="46"/>
      <c r="F14" s="47">
        <v>45.43</v>
      </c>
      <c r="G14" s="22">
        <f>SUM(G12:G13)</f>
        <v>393.25</v>
      </c>
      <c r="H14" s="22">
        <f t="shared" ref="H14:J14" si="0">SUM(H12:H13)</f>
        <v>13.672499999999999</v>
      </c>
      <c r="I14" s="22">
        <f t="shared" si="0"/>
        <v>9.0195000000000007</v>
      </c>
      <c r="J14" s="22">
        <f t="shared" si="0"/>
        <v>39.646500000000003</v>
      </c>
    </row>
    <row r="15" spans="1:10" ht="15.75" thickBot="1" x14ac:dyDescent="0.3">
      <c r="A15" s="6" t="s">
        <v>13</v>
      </c>
      <c r="B15" s="7" t="s">
        <v>14</v>
      </c>
      <c r="C15" s="8">
        <v>27</v>
      </c>
      <c r="D15" s="9" t="s">
        <v>37</v>
      </c>
      <c r="E15" s="50" t="s">
        <v>53</v>
      </c>
      <c r="F15" s="43">
        <f>8.29*55/60</f>
        <v>7.5991666666666653</v>
      </c>
      <c r="G15" s="10">
        <f>71.4*45/60</f>
        <v>53.550000000000004</v>
      </c>
      <c r="H15" s="10">
        <f>1.14*45/60</f>
        <v>0.85499999999999998</v>
      </c>
      <c r="I15" s="10">
        <f>5.34*45/60</f>
        <v>4.0049999999999999</v>
      </c>
      <c r="J15" s="11">
        <f>4.62*45/60</f>
        <v>3.4650000000000003</v>
      </c>
    </row>
    <row r="16" spans="1:10" ht="30" x14ac:dyDescent="0.25">
      <c r="A16" s="12"/>
      <c r="B16" s="13" t="s">
        <v>15</v>
      </c>
      <c r="C16" s="14">
        <v>33</v>
      </c>
      <c r="D16" s="101" t="s">
        <v>56</v>
      </c>
      <c r="E16" s="51" t="s">
        <v>57</v>
      </c>
      <c r="F16" s="45">
        <f>11.25*250/250+1.77</f>
        <v>13.02</v>
      </c>
      <c r="G16" s="16">
        <f>180.75</f>
        <v>180.75</v>
      </c>
      <c r="H16" s="16">
        <f>1.72</f>
        <v>1.72</v>
      </c>
      <c r="I16" s="16">
        <f>6.18</f>
        <v>6.18</v>
      </c>
      <c r="J16" s="17">
        <f>11.66</f>
        <v>11.66</v>
      </c>
    </row>
    <row r="17" spans="1:10" x14ac:dyDescent="0.25">
      <c r="A17" s="12"/>
      <c r="B17" s="13" t="s">
        <v>16</v>
      </c>
      <c r="C17" s="14">
        <v>23</v>
      </c>
      <c r="D17" s="15" t="s">
        <v>33</v>
      </c>
      <c r="E17" s="51" t="s">
        <v>47</v>
      </c>
      <c r="F17" s="45">
        <f>35.88*90/90</f>
        <v>35.880000000000003</v>
      </c>
      <c r="G17" s="16">
        <f>103*90/90</f>
        <v>103</v>
      </c>
      <c r="H17" s="16">
        <f>12.92*90/90</f>
        <v>12.92</v>
      </c>
      <c r="I17" s="16">
        <f>2.28*9/90</f>
        <v>0.22800000000000001</v>
      </c>
      <c r="J17" s="17">
        <f>8.31*90/90</f>
        <v>8.31</v>
      </c>
    </row>
    <row r="18" spans="1:10" ht="30" x14ac:dyDescent="0.25">
      <c r="A18" s="12"/>
      <c r="B18" s="13"/>
      <c r="C18" s="14">
        <v>15</v>
      </c>
      <c r="D18" s="15" t="s">
        <v>38</v>
      </c>
      <c r="E18" s="51" t="s">
        <v>41</v>
      </c>
      <c r="F18" s="45">
        <f>2.92*25/25</f>
        <v>2.92</v>
      </c>
      <c r="G18" s="16">
        <f>21.25</f>
        <v>21.25</v>
      </c>
      <c r="H18" s="16">
        <f>0.45</f>
        <v>0.45</v>
      </c>
      <c r="I18" s="16">
        <f>1.31</f>
        <v>1.31</v>
      </c>
      <c r="J18" s="17">
        <f>1.92</f>
        <v>1.92</v>
      </c>
    </row>
    <row r="19" spans="1:10" x14ac:dyDescent="0.25">
      <c r="A19" s="12"/>
      <c r="B19" s="13" t="s">
        <v>17</v>
      </c>
      <c r="C19" s="14">
        <v>52</v>
      </c>
      <c r="D19" s="15" t="s">
        <v>39</v>
      </c>
      <c r="E19" s="51" t="s">
        <v>51</v>
      </c>
      <c r="F19" s="45">
        <f>7.38*80/80+10.07*80/70</f>
        <v>18.888571428571428</v>
      </c>
      <c r="G19" s="16">
        <f>183.25</f>
        <v>183.25</v>
      </c>
      <c r="H19" s="16">
        <f>3.35</f>
        <v>3.35</v>
      </c>
      <c r="I19" s="16">
        <f>6.98</f>
        <v>6.98</v>
      </c>
      <c r="J19" s="17">
        <f>22.19</f>
        <v>22.19</v>
      </c>
    </row>
    <row r="20" spans="1:10" x14ac:dyDescent="0.25">
      <c r="A20" s="12"/>
      <c r="B20" s="13" t="s">
        <v>29</v>
      </c>
      <c r="C20" s="14">
        <v>35</v>
      </c>
      <c r="D20" s="15" t="s">
        <v>31</v>
      </c>
      <c r="E20" s="51">
        <v>200</v>
      </c>
      <c r="F20" s="45">
        <v>8.8699999999999992</v>
      </c>
      <c r="G20" s="16">
        <f>97</f>
        <v>97</v>
      </c>
      <c r="H20" s="16">
        <f>0.68</f>
        <v>0.68</v>
      </c>
      <c r="I20" s="16">
        <f>0.28</f>
        <v>0.28000000000000003</v>
      </c>
      <c r="J20" s="17">
        <f>19.64</f>
        <v>19.64</v>
      </c>
    </row>
    <row r="21" spans="1:10" x14ac:dyDescent="0.25">
      <c r="A21" s="12"/>
      <c r="B21" s="13" t="s">
        <v>20</v>
      </c>
      <c r="C21" s="14" t="s">
        <v>23</v>
      </c>
      <c r="D21" s="15" t="s">
        <v>30</v>
      </c>
      <c r="E21" s="51" t="s">
        <v>58</v>
      </c>
      <c r="F21" s="45">
        <v>2.2200000000000002</v>
      </c>
      <c r="G21" s="16">
        <f>62.4*30/30</f>
        <v>62.4</v>
      </c>
      <c r="H21" s="16">
        <f>2.4*30/30</f>
        <v>2.4</v>
      </c>
      <c r="I21" s="16">
        <f>0.45*30/30</f>
        <v>0.45</v>
      </c>
      <c r="J21" s="17">
        <f>11.37*30/30</f>
        <v>11.37</v>
      </c>
    </row>
    <row r="22" spans="1:10" x14ac:dyDescent="0.25">
      <c r="A22" s="12"/>
      <c r="B22" s="29" t="s">
        <v>18</v>
      </c>
      <c r="C22" s="20" t="s">
        <v>23</v>
      </c>
      <c r="D22" s="21" t="s">
        <v>24</v>
      </c>
      <c r="E22" s="52" t="s">
        <v>59</v>
      </c>
      <c r="F22" s="47">
        <f>46.14*0.032</f>
        <v>1.47648</v>
      </c>
      <c r="G22" s="22">
        <f>60*29/30</f>
        <v>58</v>
      </c>
      <c r="H22" s="22">
        <f>1.47*29/30</f>
        <v>1.421</v>
      </c>
      <c r="I22" s="22">
        <f>0.3*29/30</f>
        <v>0.28999999999999998</v>
      </c>
      <c r="J22" s="23">
        <f>13.44*29/30</f>
        <v>12.991999999999999</v>
      </c>
    </row>
    <row r="23" spans="1:10" x14ac:dyDescent="0.25">
      <c r="A23" s="13"/>
      <c r="B23" s="18"/>
      <c r="C23" s="13"/>
      <c r="D23" s="13"/>
      <c r="E23" s="53"/>
      <c r="F23" s="54">
        <f>SUM(F15:F22)</f>
        <v>90.874218095238092</v>
      </c>
      <c r="G23" s="30">
        <f>SUM(G15:G22)</f>
        <v>759.19999999999993</v>
      </c>
      <c r="H23" s="30">
        <f t="shared" ref="H23:J23" si="1">SUM(H15:H22)</f>
        <v>23.795999999999999</v>
      </c>
      <c r="I23" s="30">
        <f t="shared" si="1"/>
        <v>19.722999999999999</v>
      </c>
      <c r="J23" s="30">
        <f t="shared" si="1"/>
        <v>91.547000000000011</v>
      </c>
    </row>
    <row r="24" spans="1:10" ht="15.75" thickBot="1" x14ac:dyDescent="0.3">
      <c r="B24" s="2" t="s">
        <v>43</v>
      </c>
      <c r="E24" s="55"/>
      <c r="F24" s="56"/>
    </row>
    <row r="25" spans="1:10" ht="30.75" thickBot="1" x14ac:dyDescent="0.3">
      <c r="A25" s="3" t="s">
        <v>2</v>
      </c>
      <c r="B25" s="4" t="s">
        <v>3</v>
      </c>
      <c r="C25" s="4" t="s">
        <v>21</v>
      </c>
      <c r="D25" s="4" t="s">
        <v>4</v>
      </c>
      <c r="E25" s="57" t="s">
        <v>22</v>
      </c>
      <c r="F25" s="57" t="s">
        <v>5</v>
      </c>
      <c r="G25" s="35" t="s">
        <v>6</v>
      </c>
      <c r="H25" s="4" t="s">
        <v>7</v>
      </c>
      <c r="I25" s="4" t="s">
        <v>8</v>
      </c>
      <c r="J25" s="5" t="s">
        <v>9</v>
      </c>
    </row>
    <row r="26" spans="1:10" ht="30" x14ac:dyDescent="0.25">
      <c r="A26" s="6" t="s">
        <v>10</v>
      </c>
      <c r="B26" s="7" t="s">
        <v>11</v>
      </c>
      <c r="C26" s="8">
        <v>53</v>
      </c>
      <c r="D26" s="9" t="s">
        <v>35</v>
      </c>
      <c r="E26" s="42">
        <v>200</v>
      </c>
      <c r="F26" s="43">
        <v>13.99</v>
      </c>
      <c r="G26" s="10">
        <v>146</v>
      </c>
      <c r="H26" s="10">
        <v>5.7</v>
      </c>
      <c r="I26" s="10">
        <v>5.28</v>
      </c>
      <c r="J26" s="11">
        <v>18.88</v>
      </c>
    </row>
    <row r="27" spans="1:10" x14ac:dyDescent="0.25">
      <c r="A27" s="12"/>
      <c r="B27" s="13" t="s">
        <v>12</v>
      </c>
      <c r="C27" s="14">
        <v>30</v>
      </c>
      <c r="D27" s="15" t="s">
        <v>36</v>
      </c>
      <c r="E27" s="44">
        <v>200</v>
      </c>
      <c r="F27" s="45">
        <v>3</v>
      </c>
      <c r="G27" s="16">
        <v>43</v>
      </c>
      <c r="H27" s="16">
        <v>0.06</v>
      </c>
      <c r="I27" s="16">
        <v>0.01</v>
      </c>
      <c r="J27" s="17">
        <v>10.220000000000001</v>
      </c>
    </row>
    <row r="28" spans="1:10" x14ac:dyDescent="0.25">
      <c r="A28" s="12"/>
      <c r="B28" s="13" t="s">
        <v>19</v>
      </c>
      <c r="C28" s="14" t="s">
        <v>23</v>
      </c>
      <c r="D28" s="15" t="s">
        <v>24</v>
      </c>
      <c r="E28" s="44">
        <v>31</v>
      </c>
      <c r="F28" s="45">
        <f>46.14*0.031</f>
        <v>1.4303399999999999</v>
      </c>
      <c r="G28" s="16">
        <f>40*34/20</f>
        <v>68</v>
      </c>
      <c r="H28" s="16">
        <f>0.98*34/20</f>
        <v>1.6659999999999999</v>
      </c>
      <c r="I28" s="16">
        <f>0.2*34/20</f>
        <v>0.34</v>
      </c>
      <c r="J28" s="17">
        <f>8.95*34/20</f>
        <v>15.214999999999998</v>
      </c>
    </row>
    <row r="29" spans="1:10" x14ac:dyDescent="0.25">
      <c r="A29" s="12"/>
      <c r="B29" s="18"/>
      <c r="C29" s="14" t="s">
        <v>23</v>
      </c>
      <c r="D29" s="15" t="s">
        <v>25</v>
      </c>
      <c r="E29" s="44">
        <v>31</v>
      </c>
      <c r="F29" s="45">
        <v>2.72</v>
      </c>
      <c r="G29" s="16">
        <f>41.6*35/20</f>
        <v>72.8</v>
      </c>
      <c r="H29" s="16">
        <f>1.6*35/20</f>
        <v>2.8</v>
      </c>
      <c r="I29" s="16">
        <f>0.03*35/20</f>
        <v>5.2500000000000005E-2</v>
      </c>
      <c r="J29" s="17">
        <f>8.02*35/20</f>
        <v>14.035</v>
      </c>
    </row>
    <row r="30" spans="1:10" x14ac:dyDescent="0.25">
      <c r="A30" s="12"/>
      <c r="B30" s="19" t="s">
        <v>26</v>
      </c>
      <c r="C30" s="20" t="s">
        <v>23</v>
      </c>
      <c r="D30" s="21" t="s">
        <v>50</v>
      </c>
      <c r="E30" s="46">
        <v>100</v>
      </c>
      <c r="F30" s="47">
        <f>171.6*0.1</f>
        <v>17.16</v>
      </c>
      <c r="G30" s="22">
        <f>96*1.39</f>
        <v>133.44</v>
      </c>
      <c r="H30" s="22">
        <f>1.5*1.39</f>
        <v>2.085</v>
      </c>
      <c r="I30" s="22">
        <f>0.5*1.39</f>
        <v>0.69499999999999995</v>
      </c>
      <c r="J30" s="23">
        <f>21*1.39</f>
        <v>29.189999999999998</v>
      </c>
    </row>
    <row r="31" spans="1:10" x14ac:dyDescent="0.25">
      <c r="A31" s="24"/>
      <c r="B31" s="18"/>
      <c r="C31" s="14">
        <v>6</v>
      </c>
      <c r="D31" s="15" t="s">
        <v>27</v>
      </c>
      <c r="E31" s="44">
        <v>26</v>
      </c>
      <c r="F31" s="45">
        <f>11.96*26/15</f>
        <v>20.730666666666668</v>
      </c>
      <c r="G31" s="16">
        <f>36</f>
        <v>36</v>
      </c>
      <c r="H31" s="16">
        <f>1.36</f>
        <v>1.36</v>
      </c>
      <c r="I31" s="16">
        <f>2.76</f>
        <v>2.76</v>
      </c>
      <c r="J31" s="16">
        <f>0.31</f>
        <v>0.31</v>
      </c>
    </row>
    <row r="32" spans="1:10" x14ac:dyDescent="0.25">
      <c r="A32" s="24"/>
      <c r="B32" s="25"/>
      <c r="C32" s="26" t="s">
        <v>23</v>
      </c>
      <c r="D32" s="27" t="s">
        <v>54</v>
      </c>
      <c r="E32" s="48">
        <v>76</v>
      </c>
      <c r="F32" s="49">
        <f>150*0.076</f>
        <v>11.4</v>
      </c>
      <c r="G32" s="28">
        <v>289.48</v>
      </c>
      <c r="H32" s="28">
        <v>7.06</v>
      </c>
      <c r="I32" s="28">
        <v>19.760000000000002</v>
      </c>
      <c r="J32" s="28">
        <v>7.06</v>
      </c>
    </row>
    <row r="33" spans="1:10" ht="15.75" thickBot="1" x14ac:dyDescent="0.3">
      <c r="A33" s="12"/>
      <c r="B33" s="25"/>
      <c r="C33" s="26"/>
      <c r="D33" s="27"/>
      <c r="E33" s="48"/>
      <c r="F33" s="49">
        <f>SUM(F26:F32)</f>
        <v>70.431006666666676</v>
      </c>
      <c r="G33" s="28">
        <f>SUM(G26:G32)</f>
        <v>788.72</v>
      </c>
      <c r="H33" s="28">
        <f>SUM(H26:H32)</f>
        <v>20.730999999999998</v>
      </c>
      <c r="I33" s="28">
        <f>SUM(I26:I32)</f>
        <v>28.897500000000001</v>
      </c>
      <c r="J33" s="28">
        <f>SUM(J26:J32)</f>
        <v>94.91</v>
      </c>
    </row>
    <row r="34" spans="1:10" x14ac:dyDescent="0.25">
      <c r="A34" s="6" t="s">
        <v>28</v>
      </c>
      <c r="B34" s="7"/>
      <c r="C34" s="8">
        <v>25</v>
      </c>
      <c r="D34" s="9" t="s">
        <v>32</v>
      </c>
      <c r="E34" s="42">
        <v>200</v>
      </c>
      <c r="F34" s="43">
        <v>11.82</v>
      </c>
      <c r="G34" s="10">
        <v>136</v>
      </c>
      <c r="H34" s="10">
        <v>0.6</v>
      </c>
      <c r="I34" s="10">
        <v>0</v>
      </c>
      <c r="J34" s="11">
        <v>33</v>
      </c>
    </row>
    <row r="35" spans="1:10" x14ac:dyDescent="0.25">
      <c r="A35" s="24"/>
      <c r="B35" s="18"/>
      <c r="C35" s="14">
        <v>76</v>
      </c>
      <c r="D35" s="15" t="s">
        <v>40</v>
      </c>
      <c r="E35" s="44">
        <v>120</v>
      </c>
      <c r="F35" s="45">
        <f>34.81*120/100</f>
        <v>41.772000000000006</v>
      </c>
      <c r="G35" s="16">
        <f>245*1.25</f>
        <v>306.25</v>
      </c>
      <c r="H35" s="16">
        <f>12.45*1.25</f>
        <v>15.5625</v>
      </c>
      <c r="I35" s="16">
        <f>8.59*1.25</f>
        <v>10.737500000000001</v>
      </c>
      <c r="J35" s="17">
        <f>6.33*1.25</f>
        <v>7.9124999999999996</v>
      </c>
    </row>
    <row r="36" spans="1:10" ht="15.75" thickBot="1" x14ac:dyDescent="0.3">
      <c r="A36" s="34"/>
      <c r="B36" s="19"/>
      <c r="C36" s="20"/>
      <c r="D36" s="21"/>
      <c r="E36" s="46"/>
      <c r="F36" s="47">
        <v>52.81</v>
      </c>
      <c r="G36" s="22">
        <f>SUM(G34:G35)</f>
        <v>442.25</v>
      </c>
      <c r="H36" s="22">
        <f t="shared" ref="H36" si="2">SUM(H34:H35)</f>
        <v>16.162500000000001</v>
      </c>
      <c r="I36" s="22">
        <f t="shared" ref="I36" si="3">SUM(I34:I35)</f>
        <v>10.737500000000001</v>
      </c>
      <c r="J36" s="22">
        <f t="shared" ref="J36" si="4">SUM(J34:J35)</f>
        <v>40.912500000000001</v>
      </c>
    </row>
    <row r="37" spans="1:10" ht="15.75" thickBot="1" x14ac:dyDescent="0.3">
      <c r="A37" s="6" t="s">
        <v>13</v>
      </c>
      <c r="B37" s="7" t="s">
        <v>14</v>
      </c>
      <c r="C37" s="8">
        <v>27</v>
      </c>
      <c r="D37" s="9" t="s">
        <v>37</v>
      </c>
      <c r="E37" s="50" t="s">
        <v>53</v>
      </c>
      <c r="F37" s="43">
        <f>13.82*55/100</f>
        <v>7.601</v>
      </c>
      <c r="G37" s="10">
        <f>71.4*70/60</f>
        <v>83.3</v>
      </c>
      <c r="H37" s="10">
        <f>1.14*70/60</f>
        <v>1.3299999999999998</v>
      </c>
      <c r="I37" s="10">
        <f>5.34*70/60</f>
        <v>6.23</v>
      </c>
      <c r="J37" s="11">
        <f>4.62*70/60</f>
        <v>5.3900000000000006</v>
      </c>
    </row>
    <row r="38" spans="1:10" ht="30" x14ac:dyDescent="0.25">
      <c r="A38" s="12"/>
      <c r="B38" s="13" t="s">
        <v>15</v>
      </c>
      <c r="C38" s="14">
        <v>33</v>
      </c>
      <c r="D38" s="101" t="s">
        <v>56</v>
      </c>
      <c r="E38" s="51" t="s">
        <v>57</v>
      </c>
      <c r="F38" s="45">
        <f>11.25*250/250+1.77</f>
        <v>13.02</v>
      </c>
      <c r="G38" s="16">
        <f>180.75</f>
        <v>180.75</v>
      </c>
      <c r="H38" s="16">
        <f>1.72</f>
        <v>1.72</v>
      </c>
      <c r="I38" s="16">
        <f>6.18</f>
        <v>6.18</v>
      </c>
      <c r="J38" s="17">
        <f>11.66</f>
        <v>11.66</v>
      </c>
    </row>
    <row r="39" spans="1:10" x14ac:dyDescent="0.25">
      <c r="A39" s="12"/>
      <c r="B39" s="13" t="s">
        <v>16</v>
      </c>
      <c r="C39" s="14">
        <v>23</v>
      </c>
      <c r="D39" s="15" t="s">
        <v>33</v>
      </c>
      <c r="E39" s="51" t="s">
        <v>52</v>
      </c>
      <c r="F39" s="45">
        <f>48.18*120/120</f>
        <v>48.18</v>
      </c>
      <c r="G39" s="16">
        <f>137.33*100/120</f>
        <v>114.44166666666668</v>
      </c>
      <c r="H39" s="16">
        <f>17.23*100/120</f>
        <v>14.358333333333333</v>
      </c>
      <c r="I39" s="16">
        <f>3.04*100/120</f>
        <v>2.5333333333333332</v>
      </c>
      <c r="J39" s="17">
        <f>11.04*100/120</f>
        <v>9.1999999999999993</v>
      </c>
    </row>
    <row r="40" spans="1:10" ht="30" x14ac:dyDescent="0.25">
      <c r="A40" s="12"/>
      <c r="B40" s="13"/>
      <c r="C40" s="14">
        <v>15</v>
      </c>
      <c r="D40" s="15" t="s">
        <v>38</v>
      </c>
      <c r="E40" s="51" t="s">
        <v>41</v>
      </c>
      <c r="F40" s="45">
        <f>2.92*25/25</f>
        <v>2.92</v>
      </c>
      <c r="G40" s="16">
        <f>21.25</f>
        <v>21.25</v>
      </c>
      <c r="H40" s="16">
        <f>0.45</f>
        <v>0.45</v>
      </c>
      <c r="I40" s="16">
        <f>1.31</f>
        <v>1.31</v>
      </c>
      <c r="J40" s="17">
        <f>1.92</f>
        <v>1.92</v>
      </c>
    </row>
    <row r="41" spans="1:10" x14ac:dyDescent="0.25">
      <c r="A41" s="12"/>
      <c r="B41" s="13" t="s">
        <v>17</v>
      </c>
      <c r="C41" s="14">
        <v>52</v>
      </c>
      <c r="D41" s="15" t="s">
        <v>39</v>
      </c>
      <c r="E41" s="51" t="s">
        <v>49</v>
      </c>
      <c r="F41" s="45">
        <f>9.06*100/96+12.05*80/84</f>
        <v>20.913690476190474</v>
      </c>
      <c r="G41" s="16">
        <f>183.25*170/150</f>
        <v>207.68333333333334</v>
      </c>
      <c r="H41" s="16">
        <f>3.35*170/150</f>
        <v>3.7966666666666669</v>
      </c>
      <c r="I41" s="16">
        <f>6.98*170/150</f>
        <v>7.9106666666666676</v>
      </c>
      <c r="J41" s="17">
        <f>22.19*170/150</f>
        <v>25.148666666666667</v>
      </c>
    </row>
    <row r="42" spans="1:10" x14ac:dyDescent="0.25">
      <c r="A42" s="12"/>
      <c r="B42" s="13" t="s">
        <v>29</v>
      </c>
      <c r="C42" s="14">
        <v>35</v>
      </c>
      <c r="D42" s="15" t="s">
        <v>31</v>
      </c>
      <c r="E42" s="51">
        <v>200</v>
      </c>
      <c r="F42" s="45">
        <v>8.8699999999999992</v>
      </c>
      <c r="G42" s="16">
        <f>97</f>
        <v>97</v>
      </c>
      <c r="H42" s="16">
        <f>0.68</f>
        <v>0.68</v>
      </c>
      <c r="I42" s="16">
        <f>0.28</f>
        <v>0.28000000000000003</v>
      </c>
      <c r="J42" s="17">
        <f>19.64</f>
        <v>19.64</v>
      </c>
    </row>
    <row r="43" spans="1:10" x14ac:dyDescent="0.25">
      <c r="A43" s="12"/>
      <c r="B43" s="13" t="s">
        <v>20</v>
      </c>
      <c r="C43" s="14" t="s">
        <v>23</v>
      </c>
      <c r="D43" s="15" t="s">
        <v>30</v>
      </c>
      <c r="E43" s="51" t="s">
        <v>60</v>
      </c>
      <c r="F43" s="45">
        <v>2.46</v>
      </c>
      <c r="G43" s="16">
        <f>62.4*35/30</f>
        <v>72.8</v>
      </c>
      <c r="H43" s="16">
        <f>2.4*35/30</f>
        <v>2.8</v>
      </c>
      <c r="I43" s="16">
        <f>0.45*35/30</f>
        <v>0.52500000000000002</v>
      </c>
      <c r="J43" s="17">
        <f>11.37*35/30</f>
        <v>13.264999999999999</v>
      </c>
    </row>
    <row r="44" spans="1:10" x14ac:dyDescent="0.25">
      <c r="A44" s="12"/>
      <c r="B44" s="29" t="s">
        <v>18</v>
      </c>
      <c r="C44" s="20" t="s">
        <v>23</v>
      </c>
      <c r="D44" s="21" t="s">
        <v>24</v>
      </c>
      <c r="E44" s="52" t="s">
        <v>61</v>
      </c>
      <c r="F44" s="47">
        <f>46.14*0.036</f>
        <v>1.6610399999999998</v>
      </c>
      <c r="G44" s="22">
        <f>60*34/30</f>
        <v>68</v>
      </c>
      <c r="H44" s="22">
        <f>1.47*34/30</f>
        <v>1.6659999999999999</v>
      </c>
      <c r="I44" s="22">
        <f>0.3*34/30</f>
        <v>0.33999999999999997</v>
      </c>
      <c r="J44" s="23">
        <f>13.44*34/30</f>
        <v>15.231999999999999</v>
      </c>
    </row>
    <row r="45" spans="1:10" x14ac:dyDescent="0.25">
      <c r="A45" s="13"/>
      <c r="B45" s="18"/>
      <c r="C45" s="13"/>
      <c r="D45" s="13"/>
      <c r="E45" s="53"/>
      <c r="F45" s="54">
        <f>SUM(F37:F44)</f>
        <v>105.62573047619048</v>
      </c>
      <c r="G45" s="30">
        <f>SUM(G37:G44)</f>
        <v>845.22499999999991</v>
      </c>
      <c r="H45" s="30">
        <f t="shared" ref="H45" si="5">SUM(H37:H44)</f>
        <v>26.800999999999998</v>
      </c>
      <c r="I45" s="30">
        <f t="shared" ref="I45" si="6">SUM(I37:I44)</f>
        <v>25.309000000000001</v>
      </c>
      <c r="J45" s="30">
        <f t="shared" ref="J45" si="7">SUM(J37:J44)</f>
        <v>101.45566666666667</v>
      </c>
    </row>
    <row r="47" spans="1:10" x14ac:dyDescent="0.25">
      <c r="A47" s="56" t="s">
        <v>44</v>
      </c>
    </row>
    <row r="49" spans="1:1" x14ac:dyDescent="0.25">
      <c r="A49" s="56" t="s">
        <v>45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F8 F39 F11 F33" unlockedFormula="1"/>
    <ignoredError sqref="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2"/>
  <sheetViews>
    <sheetView tabSelected="1" workbookViewId="0">
      <selection activeCell="N3" sqref="N3"/>
    </sheetView>
  </sheetViews>
  <sheetFormatPr defaultColWidth="8.85546875" defaultRowHeight="15" x14ac:dyDescent="0.25"/>
  <cols>
    <col min="1" max="1" width="11.7109375" style="58" bestFit="1" customWidth="1"/>
    <col min="2" max="2" width="11.5703125" style="58" customWidth="1"/>
    <col min="3" max="3" width="7.140625" style="58" bestFit="1" customWidth="1"/>
    <col min="4" max="4" width="26.28515625" style="58" customWidth="1"/>
    <col min="5" max="5" width="8.140625" style="59" bestFit="1" customWidth="1"/>
    <col min="6" max="6" width="7.140625" style="58" bestFit="1" customWidth="1"/>
    <col min="7" max="7" width="7.7109375" style="58" customWidth="1"/>
    <col min="8" max="8" width="6.140625" style="58" bestFit="1" customWidth="1"/>
    <col min="9" max="9" width="15.85546875" style="58" customWidth="1"/>
    <col min="10" max="10" width="8.5703125" style="58" customWidth="1"/>
    <col min="11" max="16384" width="8.85546875" style="58"/>
  </cols>
  <sheetData>
    <row r="1" spans="1:10" ht="28.9" customHeight="1" x14ac:dyDescent="0.25">
      <c r="A1" s="58" t="s">
        <v>0</v>
      </c>
      <c r="B1" s="125" t="s">
        <v>63</v>
      </c>
      <c r="C1" s="126"/>
      <c r="D1" s="127"/>
      <c r="E1" s="59" t="s">
        <v>42</v>
      </c>
      <c r="F1" s="60"/>
      <c r="H1" s="58" t="s">
        <v>1</v>
      </c>
      <c r="I1" s="61">
        <v>44806</v>
      </c>
    </row>
    <row r="2" spans="1:10" ht="15.75" thickBot="1" x14ac:dyDescent="0.3">
      <c r="B2" s="62" t="s">
        <v>46</v>
      </c>
    </row>
    <row r="3" spans="1:10" s="68" customFormat="1" ht="30.75" thickBot="1" x14ac:dyDescent="0.3">
      <c r="A3" s="63" t="s">
        <v>2</v>
      </c>
      <c r="B3" s="64" t="s">
        <v>3</v>
      </c>
      <c r="C3" s="64" t="s">
        <v>21</v>
      </c>
      <c r="D3" s="64" t="s">
        <v>4</v>
      </c>
      <c r="E3" s="65" t="s">
        <v>22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 ht="30" x14ac:dyDescent="0.25">
      <c r="A4" s="69"/>
      <c r="B4" s="70" t="s">
        <v>11</v>
      </c>
      <c r="C4" s="71">
        <v>53</v>
      </c>
      <c r="D4" s="72" t="s">
        <v>35</v>
      </c>
      <c r="E4" s="110">
        <v>200</v>
      </c>
      <c r="F4" s="104">
        <v>19.579999999999998</v>
      </c>
      <c r="G4" s="73">
        <v>146</v>
      </c>
      <c r="H4" s="73">
        <v>5.7</v>
      </c>
      <c r="I4" s="73">
        <v>5.28</v>
      </c>
      <c r="J4" s="74">
        <v>18.88</v>
      </c>
    </row>
    <row r="5" spans="1:10" ht="15.75" x14ac:dyDescent="0.25">
      <c r="A5" s="75"/>
      <c r="B5" s="76" t="s">
        <v>12</v>
      </c>
      <c r="C5" s="77">
        <v>30</v>
      </c>
      <c r="D5" s="78" t="s">
        <v>36</v>
      </c>
      <c r="E5" s="111">
        <v>200</v>
      </c>
      <c r="F5" s="105">
        <v>4.1900000000000004</v>
      </c>
      <c r="G5" s="79">
        <v>43</v>
      </c>
      <c r="H5" s="79">
        <v>0.06</v>
      </c>
      <c r="I5" s="79">
        <v>0.01</v>
      </c>
      <c r="J5" s="80">
        <v>10.220000000000001</v>
      </c>
    </row>
    <row r="6" spans="1:10" ht="15.75" x14ac:dyDescent="0.25">
      <c r="A6" s="75"/>
      <c r="B6" s="76" t="s">
        <v>19</v>
      </c>
      <c r="C6" s="77" t="s">
        <v>23</v>
      </c>
      <c r="D6" s="78" t="s">
        <v>24</v>
      </c>
      <c r="E6" s="111">
        <v>35</v>
      </c>
      <c r="F6" s="105">
        <f>55.37*0.035</f>
        <v>1.9379500000000001</v>
      </c>
      <c r="G6" s="79">
        <f>40*29/20</f>
        <v>58</v>
      </c>
      <c r="H6" s="79">
        <f>0.98*29/20</f>
        <v>1.4209999999999998</v>
      </c>
      <c r="I6" s="79">
        <f>0.2*29/20</f>
        <v>0.29000000000000004</v>
      </c>
      <c r="J6" s="80">
        <f>8.95*29/20</f>
        <v>12.977499999999997</v>
      </c>
    </row>
    <row r="7" spans="1:10" ht="15.75" x14ac:dyDescent="0.25">
      <c r="A7" s="75"/>
      <c r="B7" s="81"/>
      <c r="C7" s="77" t="s">
        <v>23</v>
      </c>
      <c r="D7" s="78" t="s">
        <v>25</v>
      </c>
      <c r="E7" s="111">
        <v>35</v>
      </c>
      <c r="F7" s="105">
        <f>105.6*0.035</f>
        <v>3.6960000000000002</v>
      </c>
      <c r="G7" s="79">
        <f>41.6*30/20</f>
        <v>62.4</v>
      </c>
      <c r="H7" s="79">
        <f>1.6*30/20</f>
        <v>2.4</v>
      </c>
      <c r="I7" s="79">
        <f>0.03*30/20</f>
        <v>4.4999999999999998E-2</v>
      </c>
      <c r="J7" s="80">
        <f>8.02*30/20</f>
        <v>12.03</v>
      </c>
    </row>
    <row r="8" spans="1:10" ht="15.75" x14ac:dyDescent="0.25">
      <c r="A8" s="75"/>
      <c r="B8" s="82" t="s">
        <v>26</v>
      </c>
      <c r="C8" s="20" t="s">
        <v>23</v>
      </c>
      <c r="D8" s="21" t="s">
        <v>50</v>
      </c>
      <c r="E8" s="46">
        <v>100</v>
      </c>
      <c r="F8" s="117">
        <f>171.6*0.1*1.33</f>
        <v>22.822800000000001</v>
      </c>
      <c r="G8" s="85">
        <f>96*1.39</f>
        <v>133.44</v>
      </c>
      <c r="H8" s="85">
        <f>1.5*1.39</f>
        <v>2.085</v>
      </c>
      <c r="I8" s="85">
        <f>0.5*1.39</f>
        <v>0.69499999999999995</v>
      </c>
      <c r="J8" s="86">
        <f>21*1.39</f>
        <v>29.189999999999998</v>
      </c>
    </row>
    <row r="9" spans="1:10" ht="15.75" x14ac:dyDescent="0.25">
      <c r="A9" s="87"/>
      <c r="B9" s="81"/>
      <c r="C9" s="77">
        <v>6</v>
      </c>
      <c r="D9" s="78" t="s">
        <v>27</v>
      </c>
      <c r="E9" s="111">
        <v>18</v>
      </c>
      <c r="F9" s="105">
        <f>13.6*18/12</f>
        <v>20.399999999999999</v>
      </c>
      <c r="G9" s="79">
        <f>36</f>
        <v>36</v>
      </c>
      <c r="H9" s="79">
        <f>1.36</f>
        <v>1.36</v>
      </c>
      <c r="I9" s="79">
        <f>2.76</f>
        <v>2.76</v>
      </c>
      <c r="J9" s="79">
        <f>0.31</f>
        <v>0.31</v>
      </c>
    </row>
    <row r="10" spans="1:10" ht="15.75" x14ac:dyDescent="0.25">
      <c r="A10" s="87"/>
      <c r="B10" s="88"/>
      <c r="C10" s="26" t="s">
        <v>23</v>
      </c>
      <c r="D10" s="27" t="s">
        <v>54</v>
      </c>
      <c r="E10" s="120">
        <v>57</v>
      </c>
      <c r="F10" s="121">
        <f>150*0.057*1.33</f>
        <v>11.371500000000001</v>
      </c>
      <c r="G10" s="28">
        <v>289.48</v>
      </c>
      <c r="H10" s="28">
        <v>7.06</v>
      </c>
      <c r="I10" s="28">
        <v>19.760000000000002</v>
      </c>
      <c r="J10" s="28">
        <v>7.06</v>
      </c>
    </row>
    <row r="11" spans="1:10" ht="16.5" thickBot="1" x14ac:dyDescent="0.3">
      <c r="A11" s="75"/>
      <c r="B11" s="88"/>
      <c r="C11" s="89"/>
      <c r="D11" s="90"/>
      <c r="E11" s="112"/>
      <c r="F11" s="107">
        <f>SUM(F4:F10)</f>
        <v>83.998249999999999</v>
      </c>
      <c r="G11" s="91">
        <f>SUM(G4:G9)</f>
        <v>478.84</v>
      </c>
      <c r="H11" s="91">
        <f t="shared" ref="H11:J11" si="0">SUM(H4:H9)</f>
        <v>13.026</v>
      </c>
      <c r="I11" s="91">
        <f t="shared" si="0"/>
        <v>9.08</v>
      </c>
      <c r="J11" s="91">
        <f t="shared" si="0"/>
        <v>83.607500000000002</v>
      </c>
    </row>
    <row r="12" spans="1:10" ht="15.75" x14ac:dyDescent="0.25">
      <c r="A12" s="69"/>
      <c r="B12" s="70" t="s">
        <v>16</v>
      </c>
      <c r="C12" s="71">
        <v>23</v>
      </c>
      <c r="D12" s="72" t="s">
        <v>33</v>
      </c>
      <c r="E12" s="113" t="s">
        <v>47</v>
      </c>
      <c r="F12" s="104">
        <f>50.02*90/90</f>
        <v>50.02</v>
      </c>
      <c r="G12" s="73">
        <f>103*80/90</f>
        <v>91.555555555555557</v>
      </c>
      <c r="H12" s="73">
        <f>12.92*80/90</f>
        <v>11.484444444444444</v>
      </c>
      <c r="I12" s="73">
        <f>2.28*80/90</f>
        <v>2.0266666666666664</v>
      </c>
      <c r="J12" s="74">
        <f>8.31*80/90</f>
        <v>7.3866666666666676</v>
      </c>
    </row>
    <row r="13" spans="1:10" ht="15.75" x14ac:dyDescent="0.25">
      <c r="A13" s="75"/>
      <c r="B13" s="76"/>
      <c r="C13" s="77">
        <v>15</v>
      </c>
      <c r="D13" s="78" t="s">
        <v>38</v>
      </c>
      <c r="E13" s="114" t="s">
        <v>41</v>
      </c>
      <c r="F13" s="105">
        <v>4.09</v>
      </c>
      <c r="G13" s="79">
        <f>21.25*20/25</f>
        <v>17</v>
      </c>
      <c r="H13" s="79">
        <f>0.45*20/25</f>
        <v>0.36</v>
      </c>
      <c r="I13" s="79">
        <f>1.31*20/25</f>
        <v>1.048</v>
      </c>
      <c r="J13" s="80">
        <f>1.92*20/25</f>
        <v>1.536</v>
      </c>
    </row>
    <row r="14" spans="1:10" ht="15.75" x14ac:dyDescent="0.25">
      <c r="A14" s="75"/>
      <c r="B14" s="76" t="s">
        <v>17</v>
      </c>
      <c r="C14" s="77">
        <v>52</v>
      </c>
      <c r="D14" s="78" t="s">
        <v>39</v>
      </c>
      <c r="E14" s="114" t="s">
        <v>51</v>
      </c>
      <c r="F14" s="105">
        <f>10.33*80/80+14.09*80/70</f>
        <v>26.432857142857145</v>
      </c>
      <c r="G14" s="79">
        <f>183.25</f>
        <v>183.25</v>
      </c>
      <c r="H14" s="79">
        <f>3.35</f>
        <v>3.35</v>
      </c>
      <c r="I14" s="79">
        <f>6.98</f>
        <v>6.98</v>
      </c>
      <c r="J14" s="80">
        <f>22.19</f>
        <v>22.19</v>
      </c>
    </row>
    <row r="15" spans="1:10" ht="15.75" x14ac:dyDescent="0.25">
      <c r="A15" s="75"/>
      <c r="B15" s="76" t="s">
        <v>29</v>
      </c>
      <c r="C15" s="77">
        <v>30</v>
      </c>
      <c r="D15" s="78" t="s">
        <v>36</v>
      </c>
      <c r="E15" s="111">
        <v>200</v>
      </c>
      <c r="F15" s="105">
        <v>4.1900000000000004</v>
      </c>
      <c r="G15" s="79">
        <v>43</v>
      </c>
      <c r="H15" s="79">
        <v>0.06</v>
      </c>
      <c r="I15" s="79">
        <v>0.01</v>
      </c>
      <c r="J15" s="80">
        <v>10.220000000000001</v>
      </c>
    </row>
    <row r="16" spans="1:10" ht="15.75" x14ac:dyDescent="0.25">
      <c r="A16" s="75"/>
      <c r="B16" s="76" t="s">
        <v>20</v>
      </c>
      <c r="C16" s="77" t="s">
        <v>23</v>
      </c>
      <c r="D16" s="78" t="s">
        <v>30</v>
      </c>
      <c r="E16" s="114" t="s">
        <v>55</v>
      </c>
      <c r="F16" s="105">
        <f>81.6*0.029</f>
        <v>2.3664000000000001</v>
      </c>
      <c r="G16" s="79">
        <f>62.4*28/30</f>
        <v>58.24</v>
      </c>
      <c r="H16" s="79">
        <f>2.4*28/30</f>
        <v>2.2400000000000002</v>
      </c>
      <c r="I16" s="79">
        <f>0.45*28/30</f>
        <v>0.42</v>
      </c>
      <c r="J16" s="80">
        <f>11.37*28/30</f>
        <v>10.611999999999998</v>
      </c>
    </row>
    <row r="17" spans="1:17" ht="15.75" x14ac:dyDescent="0.25">
      <c r="A17" s="75"/>
      <c r="B17" s="92" t="s">
        <v>18</v>
      </c>
      <c r="C17" s="83" t="s">
        <v>23</v>
      </c>
      <c r="D17" s="84" t="s">
        <v>24</v>
      </c>
      <c r="E17" s="115" t="s">
        <v>55</v>
      </c>
      <c r="F17" s="106">
        <f>55.37*0.029</f>
        <v>1.6057300000000001</v>
      </c>
      <c r="G17" s="85">
        <f>60*28/30</f>
        <v>56</v>
      </c>
      <c r="H17" s="85">
        <f>1.47*28/30</f>
        <v>1.3719999999999999</v>
      </c>
      <c r="I17" s="85">
        <f>0.3*28/30</f>
        <v>0.28000000000000003</v>
      </c>
      <c r="J17" s="86">
        <f>13.44*28/30</f>
        <v>12.544</v>
      </c>
    </row>
    <row r="18" spans="1:17" ht="15.75" x14ac:dyDescent="0.25">
      <c r="A18" s="75"/>
      <c r="B18" s="92"/>
      <c r="C18" s="26" t="s">
        <v>23</v>
      </c>
      <c r="D18" s="27" t="s">
        <v>54</v>
      </c>
      <c r="E18" s="120">
        <v>57</v>
      </c>
      <c r="F18" s="121">
        <f>150*0.057*1.33</f>
        <v>11.371500000000001</v>
      </c>
      <c r="G18" s="28">
        <v>289.48</v>
      </c>
      <c r="H18" s="28">
        <v>7.06</v>
      </c>
      <c r="I18" s="28">
        <v>19.760000000000002</v>
      </c>
      <c r="J18" s="28">
        <v>7.06</v>
      </c>
    </row>
    <row r="19" spans="1:17" ht="16.5" thickBot="1" x14ac:dyDescent="0.3">
      <c r="A19" s="93"/>
      <c r="B19" s="94"/>
      <c r="C19" s="95"/>
      <c r="D19" s="95"/>
      <c r="E19" s="116"/>
      <c r="F19" s="108">
        <v>100</v>
      </c>
      <c r="G19" s="97">
        <f>SUM(G12:G18)</f>
        <v>738.52555555555557</v>
      </c>
      <c r="H19" s="97">
        <f>SUM(H12:H18)</f>
        <v>25.926444444444442</v>
      </c>
      <c r="I19" s="97">
        <f>SUM(I12:I18)</f>
        <v>30.524666666666668</v>
      </c>
      <c r="J19" s="98">
        <f>SUM(J12:J18)</f>
        <v>71.548666666666662</v>
      </c>
    </row>
    <row r="20" spans="1:17" ht="31.15" customHeight="1" thickBot="1" x14ac:dyDescent="0.3">
      <c r="A20" s="69"/>
      <c r="B20" s="99" t="s">
        <v>15</v>
      </c>
      <c r="C20" s="100">
        <v>33</v>
      </c>
      <c r="D20" s="101" t="s">
        <v>62</v>
      </c>
      <c r="E20" s="118" t="s">
        <v>57</v>
      </c>
      <c r="F20" s="109">
        <f>14.96*250/250+2.47</f>
        <v>17.43</v>
      </c>
      <c r="G20" s="102">
        <f>180.75</f>
        <v>180.75</v>
      </c>
      <c r="H20" s="102">
        <f>1.72</f>
        <v>1.72</v>
      </c>
      <c r="I20" s="102">
        <f>6.18</f>
        <v>6.18</v>
      </c>
      <c r="J20" s="103">
        <f>11.66</f>
        <v>11.66</v>
      </c>
      <c r="Q20" s="119"/>
    </row>
    <row r="21" spans="1:17" ht="15.75" x14ac:dyDescent="0.25">
      <c r="A21" s="75"/>
      <c r="B21" s="76" t="s">
        <v>16</v>
      </c>
      <c r="C21" s="77">
        <v>23</v>
      </c>
      <c r="D21" s="78" t="s">
        <v>33</v>
      </c>
      <c r="E21" s="114" t="s">
        <v>52</v>
      </c>
      <c r="F21" s="104">
        <f>50.02*120/90</f>
        <v>66.693333333333342</v>
      </c>
      <c r="G21" s="79">
        <f>103*90/90</f>
        <v>103</v>
      </c>
      <c r="H21" s="79">
        <f>12.92*90/90</f>
        <v>12.92</v>
      </c>
      <c r="I21" s="79">
        <f>2.28*90/90</f>
        <v>2.2799999999999998</v>
      </c>
      <c r="J21" s="80">
        <f>8.31*90/90</f>
        <v>8.31</v>
      </c>
    </row>
    <row r="22" spans="1:17" ht="15.75" x14ac:dyDescent="0.25">
      <c r="A22" s="75"/>
      <c r="B22" s="76"/>
      <c r="C22" s="77">
        <v>15</v>
      </c>
      <c r="D22" s="78" t="s">
        <v>38</v>
      </c>
      <c r="E22" s="114" t="s">
        <v>41</v>
      </c>
      <c r="F22" s="105">
        <f>4.02*20/25</f>
        <v>3.2159999999999997</v>
      </c>
      <c r="G22" s="79">
        <f>21.25*20/25</f>
        <v>17</v>
      </c>
      <c r="H22" s="79">
        <f>0.45*20/25</f>
        <v>0.36</v>
      </c>
      <c r="I22" s="79">
        <f>1.31*20/25</f>
        <v>1.048</v>
      </c>
      <c r="J22" s="80">
        <f>1.92*20/25</f>
        <v>1.536</v>
      </c>
    </row>
    <row r="23" spans="1:17" ht="15.75" x14ac:dyDescent="0.25">
      <c r="A23" s="75"/>
      <c r="B23" s="76" t="s">
        <v>17</v>
      </c>
      <c r="C23" s="77">
        <v>52</v>
      </c>
      <c r="D23" s="78" t="s">
        <v>39</v>
      </c>
      <c r="E23" s="114" t="s">
        <v>49</v>
      </c>
      <c r="F23" s="105">
        <f>12.69*100/100+16.87*80/80</f>
        <v>29.560000000000002</v>
      </c>
      <c r="G23" s="79">
        <f>183.25</f>
        <v>183.25</v>
      </c>
      <c r="H23" s="79">
        <f>3.35</f>
        <v>3.35</v>
      </c>
      <c r="I23" s="79">
        <f>6.98</f>
        <v>6.98</v>
      </c>
      <c r="J23" s="80">
        <f>22.19</f>
        <v>22.19</v>
      </c>
    </row>
    <row r="24" spans="1:17" ht="15.75" x14ac:dyDescent="0.25">
      <c r="A24" s="75"/>
      <c r="B24" s="76" t="s">
        <v>29</v>
      </c>
      <c r="C24" s="77">
        <v>30</v>
      </c>
      <c r="D24" s="78" t="s">
        <v>36</v>
      </c>
      <c r="E24" s="111">
        <v>200</v>
      </c>
      <c r="F24" s="105">
        <v>4.1900000000000004</v>
      </c>
      <c r="G24" s="79">
        <v>43</v>
      </c>
      <c r="H24" s="79">
        <v>0.06</v>
      </c>
      <c r="I24" s="79">
        <v>0.01</v>
      </c>
      <c r="J24" s="80">
        <v>10.220000000000001</v>
      </c>
    </row>
    <row r="25" spans="1:17" ht="15.75" x14ac:dyDescent="0.25">
      <c r="A25" s="75"/>
      <c r="B25" s="76" t="s">
        <v>20</v>
      </c>
      <c r="C25" s="77" t="s">
        <v>23</v>
      </c>
      <c r="D25" s="78" t="s">
        <v>30</v>
      </c>
      <c r="E25" s="114" t="s">
        <v>48</v>
      </c>
      <c r="F25" s="105">
        <f>77.76*0.03</f>
        <v>2.3328000000000002</v>
      </c>
      <c r="G25" s="79">
        <f>62.4*32/30</f>
        <v>66.56</v>
      </c>
      <c r="H25" s="79">
        <f>2.4*32/30</f>
        <v>2.56</v>
      </c>
      <c r="I25" s="79">
        <f>0.45*32/30</f>
        <v>0.48000000000000004</v>
      </c>
      <c r="J25" s="80">
        <f>11.37*32/30</f>
        <v>12.127999999999998</v>
      </c>
    </row>
    <row r="26" spans="1:17" ht="15.75" x14ac:dyDescent="0.25">
      <c r="A26" s="75"/>
      <c r="B26" s="92" t="s">
        <v>18</v>
      </c>
      <c r="C26" s="83" t="s">
        <v>23</v>
      </c>
      <c r="D26" s="84" t="s">
        <v>24</v>
      </c>
      <c r="E26" s="115" t="s">
        <v>48</v>
      </c>
      <c r="F26" s="106">
        <f>52.8*0.03</f>
        <v>1.5839999999999999</v>
      </c>
      <c r="G26" s="85">
        <f>60*31/30</f>
        <v>62</v>
      </c>
      <c r="H26" s="85">
        <f>1.47*31/30</f>
        <v>1.5189999999999999</v>
      </c>
      <c r="I26" s="85">
        <f>0.3*31/30</f>
        <v>0.30999999999999994</v>
      </c>
      <c r="J26" s="86">
        <f>13.44*31/30</f>
        <v>13.888</v>
      </c>
    </row>
    <row r="27" spans="1:17" ht="16.5" thickBot="1" x14ac:dyDescent="0.3">
      <c r="A27" s="93"/>
      <c r="B27" s="94"/>
      <c r="C27" s="95"/>
      <c r="D27" s="95"/>
      <c r="E27" s="96"/>
      <c r="F27" s="108">
        <v>125</v>
      </c>
      <c r="G27" s="97">
        <f>SUM(G21:G26)</f>
        <v>474.81</v>
      </c>
      <c r="H27" s="97">
        <f>SUM(H21:H26)</f>
        <v>20.768999999999995</v>
      </c>
      <c r="I27" s="97">
        <f>SUM(I21:I26)</f>
        <v>11.108000000000001</v>
      </c>
      <c r="J27" s="98">
        <f>SUM(J21:J26)</f>
        <v>68.272000000000006</v>
      </c>
    </row>
    <row r="28" spans="1:17" s="1" customFormat="1" x14ac:dyDescent="0.25">
      <c r="E28" s="33"/>
    </row>
    <row r="29" spans="1:17" s="1" customFormat="1" x14ac:dyDescent="0.25">
      <c r="A29" s="56" t="s">
        <v>44</v>
      </c>
      <c r="E29" s="33"/>
    </row>
    <row r="30" spans="1:17" s="1" customFormat="1" x14ac:dyDescent="0.25">
      <c r="E30" s="33"/>
    </row>
    <row r="31" spans="1:17" s="1" customFormat="1" x14ac:dyDescent="0.25">
      <c r="A31" s="56" t="s">
        <v>45</v>
      </c>
      <c r="E31" s="33"/>
    </row>
    <row r="32" spans="1:17" s="1" customFormat="1" x14ac:dyDescent="0.25">
      <c r="E32" s="3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14:J14 G20:J20 G12:J12 F11:J11 G8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2022-08-30T10:39:48Z</cp:lastPrinted>
  <dcterms:created xsi:type="dcterms:W3CDTF">2015-06-05T18:19:34Z</dcterms:created>
  <dcterms:modified xsi:type="dcterms:W3CDTF">2022-11-07T06:40:50Z</dcterms:modified>
</cp:coreProperties>
</file>