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1">платно!$A$1:$J$28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F19"/>
  <c r="F16"/>
  <c r="F14"/>
  <c r="F11" i="2"/>
  <c r="F22"/>
  <c r="F20"/>
  <c r="F18"/>
  <c r="F19"/>
  <c r="F15"/>
  <c r="F14"/>
  <c r="F12"/>
  <c r="F16"/>
  <c r="J16"/>
  <c r="I16"/>
  <c r="H16"/>
  <c r="G16"/>
  <c r="F8"/>
  <c r="F7"/>
  <c r="F9"/>
  <c r="F5"/>
  <c r="F34" i="1"/>
  <c r="F27"/>
  <c r="F25"/>
  <c r="F29"/>
  <c r="F7"/>
  <c r="F9"/>
  <c r="F36"/>
  <c r="F4" i="2"/>
  <c r="F40" i="1"/>
  <c r="F39"/>
  <c r="F35"/>
  <c r="F15"/>
  <c r="F5"/>
  <c r="F4"/>
  <c r="F24" i="2" l="1"/>
  <c r="F30" i="1"/>
  <c r="F10"/>
  <c r="J21"/>
  <c r="I21"/>
  <c r="H21"/>
  <c r="G21"/>
  <c r="J23" i="2" l="1"/>
  <c r="J22"/>
  <c r="I23"/>
  <c r="I22"/>
  <c r="H23"/>
  <c r="H22"/>
  <c r="G23"/>
  <c r="G22"/>
  <c r="J20"/>
  <c r="I20"/>
  <c r="H20"/>
  <c r="G20"/>
  <c r="J19"/>
  <c r="J24" s="1"/>
  <c r="I19"/>
  <c r="I24" s="1"/>
  <c r="H19"/>
  <c r="G19"/>
  <c r="J40" i="1"/>
  <c r="J39"/>
  <c r="I40"/>
  <c r="I39"/>
  <c r="H40"/>
  <c r="H41" s="1"/>
  <c r="H39"/>
  <c r="G40"/>
  <c r="G39"/>
  <c r="J34"/>
  <c r="I34"/>
  <c r="H34"/>
  <c r="G34"/>
  <c r="J20"/>
  <c r="J19"/>
  <c r="I20"/>
  <c r="I19"/>
  <c r="H20"/>
  <c r="H19"/>
  <c r="G20"/>
  <c r="G19"/>
  <c r="J15" i="2"/>
  <c r="J14"/>
  <c r="I15"/>
  <c r="I14"/>
  <c r="H15"/>
  <c r="H14"/>
  <c r="G15"/>
  <c r="G14"/>
  <c r="J4"/>
  <c r="I4"/>
  <c r="H4"/>
  <c r="G4"/>
  <c r="J11"/>
  <c r="I11"/>
  <c r="H11"/>
  <c r="G11"/>
  <c r="J9"/>
  <c r="I9"/>
  <c r="H9"/>
  <c r="G9"/>
  <c r="J8"/>
  <c r="I8"/>
  <c r="H8"/>
  <c r="G8"/>
  <c r="J7"/>
  <c r="I7"/>
  <c r="H7"/>
  <c r="G7"/>
  <c r="F10"/>
  <c r="J32" i="1"/>
  <c r="J33" s="1"/>
  <c r="I32"/>
  <c r="I33" s="1"/>
  <c r="H32"/>
  <c r="G32"/>
  <c r="G33" s="1"/>
  <c r="J29"/>
  <c r="I29"/>
  <c r="H29"/>
  <c r="G29"/>
  <c r="J9"/>
  <c r="I9"/>
  <c r="H9"/>
  <c r="G9"/>
  <c r="J28"/>
  <c r="I28"/>
  <c r="H28"/>
  <c r="G28"/>
  <c r="J27"/>
  <c r="I27"/>
  <c r="G27"/>
  <c r="H27"/>
  <c r="J25"/>
  <c r="I25"/>
  <c r="H25"/>
  <c r="G25"/>
  <c r="J24"/>
  <c r="I24"/>
  <c r="H24"/>
  <c r="G24"/>
  <c r="J41"/>
  <c r="I41"/>
  <c r="H33"/>
  <c r="F33"/>
  <c r="J16"/>
  <c r="I16"/>
  <c r="H16"/>
  <c r="G16"/>
  <c r="J14"/>
  <c r="I14"/>
  <c r="H14"/>
  <c r="G14"/>
  <c r="J8"/>
  <c r="I8"/>
  <c r="H8"/>
  <c r="G8"/>
  <c r="J7"/>
  <c r="I7"/>
  <c r="H7"/>
  <c r="H10" s="1"/>
  <c r="G7"/>
  <c r="J4"/>
  <c r="I4"/>
  <c r="H4"/>
  <c r="G4"/>
  <c r="H30" l="1"/>
  <c r="G41"/>
  <c r="I30"/>
  <c r="G10"/>
  <c r="J30"/>
  <c r="I10" i="2"/>
  <c r="J10"/>
  <c r="G10"/>
  <c r="G24"/>
  <c r="H24"/>
  <c r="H10"/>
  <c r="G30" i="1"/>
  <c r="G13" l="1"/>
  <c r="J10"/>
  <c r="I10" l="1"/>
  <c r="J13"/>
  <c r="I13"/>
  <c r="H13"/>
  <c r="F13" l="1"/>
  <c r="H17" i="2" l="1"/>
  <c r="I17"/>
  <c r="J17"/>
  <c r="G17"/>
</calcChain>
</file>

<file path=xl/sharedStrings.xml><?xml version="1.0" encoding="utf-8"?>
<sst xmlns="http://schemas.openxmlformats.org/spreadsheetml/2006/main" count="183" uniqueCount="63">
  <si>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</si>
  <si>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</si>
  <si>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</si>
  <si>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</si>
  <si>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</si>
  <si>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</si>
  <si>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</si>
  <si>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</si>
  <si>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</si>
  <si>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</si>
  <si>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</si>
  <si>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</si>
  <si>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</si>
  <si>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</si>
  <si>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</si>
  <si>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</si>
  <si>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</si>
  <si>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</si>
  <si>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</si>
  <si>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</si>
  <si>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</si>
  <si>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</si>
  <si>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</si>
  <si>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</si>
  <si>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</si>
  <si>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</si>
  <si>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</si>
  <si>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</si>
  <si>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</si>
  <si>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</si>
  <si>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</si>
  <si>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</si>
  <si>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</si>
  <si>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Сок</t>
  </si>
  <si>
    <t>гарнир</t>
  </si>
  <si>
    <t>150</t>
  </si>
  <si>
    <t>Пюре картофельное</t>
  </si>
  <si>
    <t>Чай с сахаром</t>
  </si>
  <si>
    <t>Рыба.тушеная в томате с овощами</t>
  </si>
  <si>
    <t>Яблоко</t>
  </si>
  <si>
    <t>Свекольник со сметаной</t>
  </si>
  <si>
    <t>Курица в соусе с томатом</t>
  </si>
  <si>
    <t>Рис отварной</t>
  </si>
  <si>
    <t>180</t>
  </si>
  <si>
    <t>Компот из сухофруктов</t>
  </si>
  <si>
    <t>250/5</t>
  </si>
  <si>
    <t>45/45</t>
  </si>
  <si>
    <t>Кефир</t>
  </si>
  <si>
    <t>МБОУ Элитовская СОШ</t>
  </si>
  <si>
    <t>50/50</t>
  </si>
  <si>
    <t>Вафли</t>
  </si>
  <si>
    <t>40</t>
  </si>
  <si>
    <t>28</t>
  </si>
  <si>
    <t>160</t>
  </si>
  <si>
    <t>55/55</t>
  </si>
  <si>
    <t>190</t>
  </si>
  <si>
    <t>170</t>
  </si>
  <si>
    <t>26</t>
  </si>
  <si>
    <t>25</t>
  </si>
  <si>
    <t xml:space="preserve">Свекольник с мясом и сметаной </t>
  </si>
  <si>
    <t>235/15/5</t>
  </si>
  <si>
    <t>40/40</t>
  </si>
  <si>
    <t>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</si>
</sst>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5" xfId="0" applyFill="1" applyBorder="1"/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tabSelected="1" zoomScaleNormal="100" workbookViewId="0">
      <selection activeCell="D9" sqref="D9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7.710937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6" t="s">
        <v>48</v>
      </c>
      <c r="C1" s="117"/>
      <c r="D1" s="118"/>
      <c r="E1" s="17" t="s">
        <v>27</v>
      </c>
      <c r="F1" s="16"/>
      <c r="H1" s="17">
        <v>6</v>
      </c>
      <c r="I1" s="123">
        <v>44699</v>
      </c>
      <c r="J1" s="123"/>
    </row>
    <row r="2" spans="1:10" ht="15.75" thickBot="1">
      <c r="B2" s="2" t="s">
        <v>26</v>
      </c>
    </row>
    <row r="3" spans="1:10" s="22" customFormat="1" ht="30.75" thickBot="1">
      <c r="A3" s="18" t="s">
        <v>1</v>
      </c>
      <c r="B3" s="19" t="s">
        <v>2</v>
      </c>
      <c r="C3" s="19" t="s">
        <v>19</v>
      </c>
      <c r="D3" s="19" t="s">
        <v>3</v>
      </c>
      <c r="E3" s="50" t="s">
        <v>20</v>
      </c>
      <c r="F3" s="50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16.5" thickBot="1">
      <c r="A4" s="3" t="s">
        <v>9</v>
      </c>
      <c r="B4" s="8" t="s">
        <v>34</v>
      </c>
      <c r="C4" s="57">
        <v>69</v>
      </c>
      <c r="D4" s="58" t="s">
        <v>36</v>
      </c>
      <c r="E4" s="51" t="s">
        <v>35</v>
      </c>
      <c r="F4" s="85">
        <f>15.12*150/150</f>
        <v>15.12</v>
      </c>
      <c r="G4" s="5">
        <f>132.6*160/150</f>
        <v>141.44</v>
      </c>
      <c r="H4" s="5">
        <f>3.12*160/150</f>
        <v>3.3280000000000003</v>
      </c>
      <c r="I4" s="5">
        <f>5.1*160/150</f>
        <v>5.44</v>
      </c>
      <c r="J4" s="6">
        <f>18.57*160/150</f>
        <v>19.808</v>
      </c>
    </row>
    <row r="5" spans="1:10" ht="30">
      <c r="A5" s="7"/>
      <c r="B5" s="30" t="s">
        <v>10</v>
      </c>
      <c r="C5" s="90">
        <v>51</v>
      </c>
      <c r="D5" s="91" t="s">
        <v>38</v>
      </c>
      <c r="E5" s="92" t="s">
        <v>46</v>
      </c>
      <c r="F5" s="93">
        <f>23.8*45/45+3.84*45/45</f>
        <v>27.64</v>
      </c>
      <c r="G5" s="14">
        <v>94.5</v>
      </c>
      <c r="H5" s="14">
        <v>8.66</v>
      </c>
      <c r="I5" s="14">
        <v>4.47</v>
      </c>
      <c r="J5" s="44">
        <v>4.6399999999999997</v>
      </c>
    </row>
    <row r="6" spans="1:10" ht="15.75">
      <c r="A6" s="7"/>
      <c r="B6" s="32" t="s">
        <v>11</v>
      </c>
      <c r="C6" s="59">
        <v>57</v>
      </c>
      <c r="D6" s="60" t="s">
        <v>37</v>
      </c>
      <c r="E6" s="52">
        <v>200</v>
      </c>
      <c r="F6" s="82">
        <v>1.66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38" t="s">
        <v>17</v>
      </c>
      <c r="C7" s="59" t="s">
        <v>21</v>
      </c>
      <c r="D7" s="60" t="s">
        <v>22</v>
      </c>
      <c r="E7" s="52">
        <v>27</v>
      </c>
      <c r="F7" s="82">
        <f>44*0.027</f>
        <v>1.1879999999999999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75">
      <c r="A8" s="7"/>
      <c r="B8" s="65"/>
      <c r="C8" s="59" t="s">
        <v>21</v>
      </c>
      <c r="D8" s="60" t="s">
        <v>25</v>
      </c>
      <c r="E8" s="52">
        <v>28</v>
      </c>
      <c r="F8" s="82">
        <v>1.76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75">
      <c r="A9" s="7"/>
      <c r="B9" s="81"/>
      <c r="C9" s="89" t="s">
        <v>21</v>
      </c>
      <c r="D9" s="60" t="s">
        <v>50</v>
      </c>
      <c r="E9" s="52">
        <v>40</v>
      </c>
      <c r="F9" s="82">
        <f>330*0.04</f>
        <v>13.200000000000001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5" thickBot="1">
      <c r="A10" s="70"/>
      <c r="B10" s="71"/>
      <c r="C10" s="72"/>
      <c r="D10" s="73"/>
      <c r="E10" s="74"/>
      <c r="F10" s="86">
        <f>SUM(F4:F9)</f>
        <v>60.567999999999998</v>
      </c>
      <c r="G10" s="75">
        <f>SUM(G4:G9)</f>
        <v>559.1</v>
      </c>
      <c r="H10" s="75">
        <f>SUM(H4:H9)</f>
        <v>19.03</v>
      </c>
      <c r="I10" s="75">
        <f>SUM(I4:I9)</f>
        <v>13.147000000000002</v>
      </c>
      <c r="J10" s="75">
        <f>SUM(J4:J9)</f>
        <v>90.040999999999997</v>
      </c>
    </row>
    <row r="11" spans="1:10" ht="15.75">
      <c r="A11" s="3" t="s">
        <v>23</v>
      </c>
      <c r="B11" s="4"/>
      <c r="C11" s="61">
        <v>63</v>
      </c>
      <c r="D11" s="62" t="s">
        <v>47</v>
      </c>
      <c r="E11" s="53">
        <v>200</v>
      </c>
      <c r="F11" s="85">
        <v>17.899999999999999</v>
      </c>
      <c r="G11" s="5">
        <v>106</v>
      </c>
      <c r="H11" s="5">
        <v>5.8</v>
      </c>
      <c r="I11" s="5">
        <v>5</v>
      </c>
      <c r="J11" s="6">
        <v>8</v>
      </c>
    </row>
    <row r="12" spans="1:10" ht="15.75">
      <c r="A12" s="7"/>
      <c r="B12" s="11"/>
      <c r="C12" s="63" t="s">
        <v>21</v>
      </c>
      <c r="D12" s="64" t="s">
        <v>39</v>
      </c>
      <c r="E12" s="54" t="s">
        <v>53</v>
      </c>
      <c r="F12" s="82">
        <v>27.53</v>
      </c>
      <c r="G12" s="9">
        <v>144</v>
      </c>
      <c r="H12" s="9">
        <v>2.25</v>
      </c>
      <c r="I12" s="9">
        <v>0.75</v>
      </c>
      <c r="J12" s="10">
        <v>31.5</v>
      </c>
    </row>
    <row r="13" spans="1:10" ht="16.5" thickBot="1">
      <c r="A13" s="66"/>
      <c r="B13" s="46"/>
      <c r="C13" s="67"/>
      <c r="D13" s="68"/>
      <c r="E13" s="69"/>
      <c r="F13" s="87">
        <f>SUM(F11:F12)</f>
        <v>45.43</v>
      </c>
      <c r="G13" s="83">
        <f>SUM(G11:G12)</f>
        <v>250</v>
      </c>
      <c r="H13" s="83">
        <f t="shared" ref="H13:J13" si="0">SUM(H11:H12)</f>
        <v>8.0500000000000007</v>
      </c>
      <c r="I13" s="83">
        <f t="shared" si="0"/>
        <v>5.75</v>
      </c>
      <c r="J13" s="84">
        <f t="shared" si="0"/>
        <v>39.5</v>
      </c>
    </row>
    <row r="14" spans="1:10" ht="15.75">
      <c r="A14" s="3" t="s">
        <v>12</v>
      </c>
      <c r="B14" s="4" t="s">
        <v>13</v>
      </c>
      <c r="C14" s="104">
        <v>4</v>
      </c>
      <c r="D14" s="105" t="s">
        <v>32</v>
      </c>
      <c r="E14" s="106" t="s">
        <v>62</v>
      </c>
      <c r="F14" s="107">
        <f>24.46*30/60</f>
        <v>12.23</v>
      </c>
      <c r="G14" s="5">
        <f>14.14*30/60</f>
        <v>7.0700000000000012</v>
      </c>
      <c r="H14" s="5">
        <f>0.66*30/60</f>
        <v>0.33</v>
      </c>
      <c r="I14" s="5">
        <f>0.12*30/60</f>
        <v>5.9999999999999991E-2</v>
      </c>
      <c r="J14" s="6">
        <f>2.28*30/60</f>
        <v>1.1399999999999999</v>
      </c>
    </row>
    <row r="15" spans="1:10" ht="15.75">
      <c r="A15" s="7"/>
      <c r="B15" s="8" t="s">
        <v>14</v>
      </c>
      <c r="C15" s="108">
        <v>10</v>
      </c>
      <c r="D15" s="109" t="s">
        <v>40</v>
      </c>
      <c r="E15" s="110" t="s">
        <v>45</v>
      </c>
      <c r="F15" s="111">
        <f>14.16*250/250+1.73</f>
        <v>15.89</v>
      </c>
      <c r="G15" s="9">
        <v>123</v>
      </c>
      <c r="H15" s="9">
        <v>2.23</v>
      </c>
      <c r="I15" s="9">
        <v>5.0599999999999996</v>
      </c>
      <c r="J15" s="10">
        <v>13.48</v>
      </c>
    </row>
    <row r="16" spans="1:10" ht="15.75">
      <c r="A16" s="7"/>
      <c r="B16" s="8" t="s">
        <v>15</v>
      </c>
      <c r="C16" s="108">
        <v>19</v>
      </c>
      <c r="D16" s="109" t="s">
        <v>41</v>
      </c>
      <c r="E16" s="110" t="s">
        <v>61</v>
      </c>
      <c r="F16" s="111">
        <f>32.74*40/53+9.9*40/37</f>
        <v>35.412136664966859</v>
      </c>
      <c r="G16" s="9">
        <f>144*80/90</f>
        <v>128</v>
      </c>
      <c r="H16" s="9">
        <f>10.02*80/90</f>
        <v>8.9066666666666663</v>
      </c>
      <c r="I16" s="9">
        <f>10.13*80/90</f>
        <v>9.0044444444444451</v>
      </c>
      <c r="J16" s="10">
        <f>3.03*80/90</f>
        <v>2.6933333333333329</v>
      </c>
    </row>
    <row r="17" spans="1:10" ht="15.75">
      <c r="A17" s="7"/>
      <c r="B17" s="8" t="s">
        <v>34</v>
      </c>
      <c r="C17" s="108">
        <v>41</v>
      </c>
      <c r="D17" s="109" t="s">
        <v>42</v>
      </c>
      <c r="E17" s="110" t="s">
        <v>35</v>
      </c>
      <c r="F17" s="111">
        <v>12.13</v>
      </c>
      <c r="G17" s="9">
        <v>235.65</v>
      </c>
      <c r="H17" s="9">
        <v>3.77</v>
      </c>
      <c r="I17" s="9">
        <v>6.11</v>
      </c>
      <c r="J17" s="10">
        <v>41.4</v>
      </c>
    </row>
    <row r="18" spans="1:10" ht="15.75">
      <c r="A18" s="7"/>
      <c r="B18" s="8" t="s">
        <v>24</v>
      </c>
      <c r="C18" s="108">
        <v>25</v>
      </c>
      <c r="D18" s="109" t="s">
        <v>33</v>
      </c>
      <c r="E18" s="110">
        <v>200</v>
      </c>
      <c r="F18" s="111">
        <v>12.45</v>
      </c>
      <c r="G18" s="9">
        <v>136</v>
      </c>
      <c r="H18" s="9">
        <v>0.6</v>
      </c>
      <c r="I18" s="9">
        <v>0</v>
      </c>
      <c r="J18" s="10">
        <v>33</v>
      </c>
    </row>
    <row r="19" spans="1:10" ht="15.75">
      <c r="A19" s="7"/>
      <c r="B19" s="8" t="s">
        <v>18</v>
      </c>
      <c r="C19" s="108" t="s">
        <v>21</v>
      </c>
      <c r="D19" s="109" t="s">
        <v>25</v>
      </c>
      <c r="E19" s="110" t="s">
        <v>62</v>
      </c>
      <c r="F19" s="111">
        <f>64.8*0.03</f>
        <v>1.944</v>
      </c>
      <c r="G19" s="9">
        <f>62.4*20/30</f>
        <v>41.6</v>
      </c>
      <c r="H19" s="9">
        <f>2.4*20/30</f>
        <v>1.6</v>
      </c>
      <c r="I19" s="9">
        <f>0.45*20/30</f>
        <v>0.3</v>
      </c>
      <c r="J19" s="10">
        <f>11.37*20/30</f>
        <v>7.5799999999999992</v>
      </c>
    </row>
    <row r="20" spans="1:10" ht="15.75">
      <c r="A20" s="7"/>
      <c r="B20" s="15" t="s">
        <v>16</v>
      </c>
      <c r="C20" s="112" t="s">
        <v>21</v>
      </c>
      <c r="D20" s="113" t="s">
        <v>22</v>
      </c>
      <c r="E20" s="114" t="s">
        <v>62</v>
      </c>
      <c r="F20" s="115">
        <f>52.8*0.03</f>
        <v>1.5839999999999999</v>
      </c>
      <c r="G20" s="12">
        <f>60*20/30</f>
        <v>40</v>
      </c>
      <c r="H20" s="12">
        <f>1.47*20/30</f>
        <v>0.98</v>
      </c>
      <c r="I20" s="12">
        <f>0.3*20/30</f>
        <v>0.2</v>
      </c>
      <c r="J20" s="13">
        <f>13.44*20/30</f>
        <v>8.9600000000000009</v>
      </c>
    </row>
    <row r="21" spans="1:10" ht="16.5" thickBot="1">
      <c r="A21" s="45"/>
      <c r="B21" s="46"/>
      <c r="C21" s="47"/>
      <c r="D21" s="47"/>
      <c r="E21" s="56"/>
      <c r="F21" s="88">
        <v>90.87</v>
      </c>
      <c r="G21" s="48">
        <f>SUM(G14:G20)</f>
        <v>711.32</v>
      </c>
      <c r="H21" s="48">
        <f>SUM(H14:H20)</f>
        <v>18.416666666666668</v>
      </c>
      <c r="I21" s="48">
        <f>SUM(I14:I20)</f>
        <v>20.734444444444446</v>
      </c>
      <c r="J21" s="49">
        <f>SUM(J14:J20)</f>
        <v>108.25333333333333</v>
      </c>
    </row>
    <row r="22" spans="1:10" ht="16.5" thickBot="1">
      <c r="B22" s="2" t="s">
        <v>28</v>
      </c>
      <c r="E22" s="55"/>
      <c r="F22" s="55"/>
    </row>
    <row r="23" spans="1:10" ht="30.75" thickBot="1">
      <c r="A23" s="18" t="s">
        <v>1</v>
      </c>
      <c r="B23" s="19" t="s">
        <v>2</v>
      </c>
      <c r="C23" s="19" t="s">
        <v>19</v>
      </c>
      <c r="D23" s="19" t="s">
        <v>3</v>
      </c>
      <c r="E23" s="50" t="s">
        <v>20</v>
      </c>
      <c r="F23" s="50" t="s">
        <v>4</v>
      </c>
      <c r="G23" s="20" t="s">
        <v>5</v>
      </c>
      <c r="H23" s="19" t="s">
        <v>6</v>
      </c>
      <c r="I23" s="19" t="s">
        <v>7</v>
      </c>
      <c r="J23" s="21" t="s">
        <v>8</v>
      </c>
    </row>
    <row r="24" spans="1:10" ht="16.5" thickBot="1">
      <c r="A24" s="3" t="s">
        <v>9</v>
      </c>
      <c r="B24" s="8" t="s">
        <v>34</v>
      </c>
      <c r="C24" s="57">
        <v>69</v>
      </c>
      <c r="D24" s="58" t="s">
        <v>36</v>
      </c>
      <c r="E24" s="51" t="s">
        <v>43</v>
      </c>
      <c r="F24" s="85">
        <v>18.190000000000001</v>
      </c>
      <c r="G24" s="5">
        <f>159.12*190/150</f>
        <v>201.55199999999999</v>
      </c>
      <c r="H24" s="5">
        <f>3.74*190/150</f>
        <v>4.7373333333333338</v>
      </c>
      <c r="I24" s="5">
        <f>6.12*190/150</f>
        <v>7.7519999999999998</v>
      </c>
      <c r="J24" s="6">
        <f>22.28*190/150</f>
        <v>28.221333333333334</v>
      </c>
    </row>
    <row r="25" spans="1:10" ht="30">
      <c r="A25" s="7"/>
      <c r="B25" s="30" t="s">
        <v>10</v>
      </c>
      <c r="C25" s="90">
        <v>51</v>
      </c>
      <c r="D25" s="91" t="s">
        <v>38</v>
      </c>
      <c r="E25" s="92" t="s">
        <v>54</v>
      </c>
      <c r="F25" s="93">
        <f>26.31*55/50+4.28*55/50</f>
        <v>33.649000000000001</v>
      </c>
      <c r="G25" s="14">
        <f>105*55/50</f>
        <v>115.5</v>
      </c>
      <c r="H25" s="14">
        <f>9.62*55/50</f>
        <v>10.581999999999999</v>
      </c>
      <c r="I25" s="14">
        <f>4.97*55/50</f>
        <v>5.4669999999999996</v>
      </c>
      <c r="J25" s="44">
        <f>5.15*55/50</f>
        <v>5.665</v>
      </c>
    </row>
    <row r="26" spans="1:10" ht="15.75">
      <c r="A26" s="7"/>
      <c r="B26" s="32" t="s">
        <v>11</v>
      </c>
      <c r="C26" s="59">
        <v>57</v>
      </c>
      <c r="D26" s="60" t="s">
        <v>37</v>
      </c>
      <c r="E26" s="52">
        <v>200</v>
      </c>
      <c r="F26" s="82">
        <v>1.66</v>
      </c>
      <c r="G26" s="9">
        <v>41</v>
      </c>
      <c r="H26" s="9">
        <v>0</v>
      </c>
      <c r="I26" s="9">
        <v>0</v>
      </c>
      <c r="J26" s="10">
        <v>10.01</v>
      </c>
    </row>
    <row r="27" spans="1:10" ht="15.75">
      <c r="A27" s="7"/>
      <c r="B27" s="38" t="s">
        <v>17</v>
      </c>
      <c r="C27" s="59" t="s">
        <v>21</v>
      </c>
      <c r="D27" s="60" t="s">
        <v>22</v>
      </c>
      <c r="E27" s="52">
        <v>34</v>
      </c>
      <c r="F27" s="82">
        <f>44*0.034</f>
        <v>1.496</v>
      </c>
      <c r="G27" s="9">
        <f>60*43/30</f>
        <v>86</v>
      </c>
      <c r="H27" s="9">
        <f>1.47*43/30</f>
        <v>2.1070000000000002</v>
      </c>
      <c r="I27" s="9">
        <f>0.3*43/30</f>
        <v>0.43</v>
      </c>
      <c r="J27" s="10">
        <f>13.44*43/30</f>
        <v>19.263999999999999</v>
      </c>
    </row>
    <row r="28" spans="1:10" ht="15.75">
      <c r="A28" s="7"/>
      <c r="B28" s="65"/>
      <c r="C28" s="59" t="s">
        <v>21</v>
      </c>
      <c r="D28" s="60" t="s">
        <v>25</v>
      </c>
      <c r="E28" s="52">
        <v>35</v>
      </c>
      <c r="F28" s="82">
        <v>2.23</v>
      </c>
      <c r="G28" s="9">
        <f>62.4*40/30</f>
        <v>83.2</v>
      </c>
      <c r="H28" s="9">
        <f>2.4*40/30</f>
        <v>3.2</v>
      </c>
      <c r="I28" s="9">
        <f>0.05*40/30</f>
        <v>6.6666666666666666E-2</v>
      </c>
      <c r="J28" s="10">
        <f>12.03*40/30</f>
        <v>16.04</v>
      </c>
    </row>
    <row r="29" spans="1:10" ht="15.75">
      <c r="A29" s="7"/>
      <c r="B29" s="81"/>
      <c r="C29" s="89" t="s">
        <v>21</v>
      </c>
      <c r="D29" s="60" t="s">
        <v>50</v>
      </c>
      <c r="E29" s="52">
        <v>40</v>
      </c>
      <c r="F29" s="82">
        <f>330*0.04</f>
        <v>13.200000000000001</v>
      </c>
      <c r="G29" s="9">
        <f>63.56*40/20</f>
        <v>127.12</v>
      </c>
      <c r="H29" s="9">
        <f>1.07*40/20</f>
        <v>2.14</v>
      </c>
      <c r="I29" s="9">
        <f>1.4*40/20</f>
        <v>2.8</v>
      </c>
      <c r="J29" s="10">
        <f>11.67*40/20</f>
        <v>23.34</v>
      </c>
    </row>
    <row r="30" spans="1:10" ht="16.5" thickBot="1">
      <c r="A30" s="70"/>
      <c r="B30" s="71"/>
      <c r="C30" s="72"/>
      <c r="D30" s="73"/>
      <c r="E30" s="74"/>
      <c r="F30" s="86">
        <f>SUM(F24:F29)</f>
        <v>70.424999999999997</v>
      </c>
      <c r="G30" s="75">
        <f>SUM(G24:G29)</f>
        <v>654.37200000000007</v>
      </c>
      <c r="H30" s="75">
        <f>SUM(H24:H29)</f>
        <v>22.766333333333332</v>
      </c>
      <c r="I30" s="75">
        <f>SUM(I24:I29)</f>
        <v>16.515666666666664</v>
      </c>
      <c r="J30" s="75">
        <f>SUM(J24:J29)</f>
        <v>102.54033333333334</v>
      </c>
    </row>
    <row r="31" spans="1:10" ht="15.75">
      <c r="A31" s="3" t="s">
        <v>23</v>
      </c>
      <c r="B31" s="4"/>
      <c r="C31" s="61">
        <v>63</v>
      </c>
      <c r="D31" s="62" t="s">
        <v>47</v>
      </c>
      <c r="E31" s="53">
        <v>200</v>
      </c>
      <c r="F31" s="85">
        <v>17.899999999999999</v>
      </c>
      <c r="G31" s="5">
        <v>106</v>
      </c>
      <c r="H31" s="5">
        <v>5.8</v>
      </c>
      <c r="I31" s="5">
        <v>5</v>
      </c>
      <c r="J31" s="6">
        <v>8</v>
      </c>
    </row>
    <row r="32" spans="1:10" ht="15.75">
      <c r="A32" s="7"/>
      <c r="B32" s="11"/>
      <c r="C32" s="63" t="s">
        <v>21</v>
      </c>
      <c r="D32" s="64" t="s">
        <v>39</v>
      </c>
      <c r="E32" s="54" t="s">
        <v>55</v>
      </c>
      <c r="F32" s="82">
        <v>34.909999999999997</v>
      </c>
      <c r="G32" s="9">
        <f>144*180/150</f>
        <v>172.8</v>
      </c>
      <c r="H32" s="9">
        <f>2.25*180/150</f>
        <v>2.7</v>
      </c>
      <c r="I32" s="9">
        <f>0.75*180/150</f>
        <v>0.9</v>
      </c>
      <c r="J32" s="10">
        <f>31.5*180/150</f>
        <v>37.799999999999997</v>
      </c>
    </row>
    <row r="33" spans="1:10" ht="16.5" thickBot="1">
      <c r="A33" s="66"/>
      <c r="B33" s="46"/>
      <c r="C33" s="67"/>
      <c r="D33" s="68"/>
      <c r="E33" s="69"/>
      <c r="F33" s="87">
        <f>SUM(F31:F32)</f>
        <v>52.809999999999995</v>
      </c>
      <c r="G33" s="83">
        <f>SUM(G31:G32)</f>
        <v>278.8</v>
      </c>
      <c r="H33" s="83">
        <f t="shared" ref="H33:J33" si="1">SUM(H31:H32)</f>
        <v>8.5</v>
      </c>
      <c r="I33" s="83">
        <f t="shared" si="1"/>
        <v>5.9</v>
      </c>
      <c r="J33" s="84">
        <f t="shared" si="1"/>
        <v>45.8</v>
      </c>
    </row>
    <row r="34" spans="1:10" ht="15.75">
      <c r="A34" s="3" t="s">
        <v>12</v>
      </c>
      <c r="B34" s="4" t="s">
        <v>13</v>
      </c>
      <c r="C34" s="104">
        <v>4</v>
      </c>
      <c r="D34" s="105" t="s">
        <v>32</v>
      </c>
      <c r="E34" s="106" t="s">
        <v>51</v>
      </c>
      <c r="F34" s="107">
        <f>40.77*40/100</f>
        <v>16.308000000000003</v>
      </c>
      <c r="G34" s="5">
        <f>24*35/100</f>
        <v>8.4</v>
      </c>
      <c r="H34" s="5">
        <f>1.1*35/100</f>
        <v>0.38500000000000001</v>
      </c>
      <c r="I34" s="5">
        <f>0.2*35/100</f>
        <v>7.0000000000000007E-2</v>
      </c>
      <c r="J34" s="6">
        <f>3.8*35/100</f>
        <v>1.33</v>
      </c>
    </row>
    <row r="35" spans="1:10" ht="15.75">
      <c r="A35" s="7"/>
      <c r="B35" s="8" t="s">
        <v>14</v>
      </c>
      <c r="C35" s="108">
        <v>10</v>
      </c>
      <c r="D35" s="109" t="s">
        <v>40</v>
      </c>
      <c r="E35" s="110" t="s">
        <v>45</v>
      </c>
      <c r="F35" s="111">
        <f>14.16*250/250+1.73</f>
        <v>15.89</v>
      </c>
      <c r="G35" s="9">
        <v>123</v>
      </c>
      <c r="H35" s="9">
        <v>2.23</v>
      </c>
      <c r="I35" s="9">
        <v>5.0599999999999996</v>
      </c>
      <c r="J35" s="10">
        <v>13.48</v>
      </c>
    </row>
    <row r="36" spans="1:10" ht="15.75">
      <c r="A36" s="7"/>
      <c r="B36" s="8" t="s">
        <v>15</v>
      </c>
      <c r="C36" s="108">
        <v>19</v>
      </c>
      <c r="D36" s="109" t="s">
        <v>41</v>
      </c>
      <c r="E36" s="110" t="s">
        <v>49</v>
      </c>
      <c r="F36" s="111">
        <f>36.49*50/59+11.28*50/41</f>
        <v>44.679826374534933</v>
      </c>
      <c r="G36" s="9">
        <v>160</v>
      </c>
      <c r="H36" s="9">
        <v>11.33</v>
      </c>
      <c r="I36" s="9">
        <v>11.26</v>
      </c>
      <c r="J36" s="10">
        <v>3.42</v>
      </c>
    </row>
    <row r="37" spans="1:10" ht="15.75">
      <c r="A37" s="7"/>
      <c r="B37" s="8" t="s">
        <v>34</v>
      </c>
      <c r="C37" s="108">
        <v>41</v>
      </c>
      <c r="D37" s="109" t="s">
        <v>42</v>
      </c>
      <c r="E37" s="110" t="s">
        <v>43</v>
      </c>
      <c r="F37" s="111">
        <v>14.2</v>
      </c>
      <c r="G37" s="9">
        <v>282.77999999999997</v>
      </c>
      <c r="H37" s="9">
        <v>4.5199999999999996</v>
      </c>
      <c r="I37" s="9">
        <v>7.33</v>
      </c>
      <c r="J37" s="10">
        <v>49.68</v>
      </c>
    </row>
    <row r="38" spans="1:10" ht="15.75">
      <c r="A38" s="7"/>
      <c r="B38" s="8" t="s">
        <v>24</v>
      </c>
      <c r="C38" s="108">
        <v>25</v>
      </c>
      <c r="D38" s="109" t="s">
        <v>33</v>
      </c>
      <c r="E38" s="110">
        <v>200</v>
      </c>
      <c r="F38" s="111">
        <v>12.45</v>
      </c>
      <c r="G38" s="9">
        <v>136</v>
      </c>
      <c r="H38" s="9">
        <v>0.6</v>
      </c>
      <c r="I38" s="9">
        <v>0</v>
      </c>
      <c r="J38" s="10">
        <v>33</v>
      </c>
    </row>
    <row r="39" spans="1:10" ht="15.75">
      <c r="A39" s="7"/>
      <c r="B39" s="8" t="s">
        <v>18</v>
      </c>
      <c r="C39" s="108" t="s">
        <v>21</v>
      </c>
      <c r="D39" s="109" t="s">
        <v>25</v>
      </c>
      <c r="E39" s="110" t="s">
        <v>51</v>
      </c>
      <c r="F39" s="111">
        <f>64.8*0.04</f>
        <v>2.5920000000000001</v>
      </c>
      <c r="G39" s="9">
        <f>62.4*25/30</f>
        <v>52</v>
      </c>
      <c r="H39" s="9">
        <f>2.4*25/30</f>
        <v>2</v>
      </c>
      <c r="I39" s="9">
        <f>0.45*25/30</f>
        <v>0.375</v>
      </c>
      <c r="J39" s="10">
        <f>11.37*25/30</f>
        <v>9.4749999999999996</v>
      </c>
    </row>
    <row r="40" spans="1:10" ht="15.75">
      <c r="A40" s="7"/>
      <c r="B40" s="15" t="s">
        <v>16</v>
      </c>
      <c r="C40" s="112" t="s">
        <v>21</v>
      </c>
      <c r="D40" s="113" t="s">
        <v>22</v>
      </c>
      <c r="E40" s="114" t="s">
        <v>51</v>
      </c>
      <c r="F40" s="115">
        <f>44*0.04</f>
        <v>1.76</v>
      </c>
      <c r="G40" s="12">
        <f>60*24/30</f>
        <v>48</v>
      </c>
      <c r="H40" s="12">
        <f>1.47*24/30</f>
        <v>1.1759999999999999</v>
      </c>
      <c r="I40" s="12">
        <f>0.3*24/30</f>
        <v>0.23999999999999996</v>
      </c>
      <c r="J40" s="13">
        <f>13.44*24/30</f>
        <v>10.752000000000001</v>
      </c>
    </row>
    <row r="41" spans="1:10" ht="16.5" thickBot="1">
      <c r="A41" s="45"/>
      <c r="B41" s="46"/>
      <c r="C41" s="47"/>
      <c r="D41" s="47"/>
      <c r="E41" s="56"/>
      <c r="F41" s="88">
        <v>105.63</v>
      </c>
      <c r="G41" s="48">
        <f>SUM(G34:G40)</f>
        <v>810.18</v>
      </c>
      <c r="H41" s="48">
        <f>SUM(H34:H40)</f>
        <v>22.241</v>
      </c>
      <c r="I41" s="48">
        <f>SUM(I34:I40)</f>
        <v>24.334999999999997</v>
      </c>
      <c r="J41" s="49">
        <f>SUM(J34:J40)</f>
        <v>121.13699999999999</v>
      </c>
    </row>
    <row r="42" spans="1:10" s="24" customFormat="1">
      <c r="A42" s="23" t="s">
        <v>29</v>
      </c>
      <c r="B42" s="1"/>
      <c r="C42" s="1"/>
      <c r="D42" s="1"/>
      <c r="E42" s="25"/>
      <c r="F42" s="25"/>
    </row>
    <row r="43" spans="1:10">
      <c r="A43" s="23" t="s">
        <v>30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  <ignoredErrors>
    <ignoredError sqref="F13 F33 F36 G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F8" sqref="F8"/>
    </sheetView>
  </sheetViews>
  <sheetFormatPr defaultColWidth="8.85546875" defaultRowHeight="15"/>
  <cols>
    <col min="1" max="1" width="11.28515625" style="24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5" width="8.140625" style="25" customWidth="1"/>
    <col min="6" max="6" width="6.85546875" style="25" customWidth="1"/>
    <col min="7" max="7" width="7.140625" style="24" customWidth="1"/>
    <col min="8" max="8" width="6.85546875" style="24" bestFit="1" customWidth="1"/>
    <col min="9" max="9" width="6.140625" style="24" customWidth="1"/>
    <col min="10" max="10" width="7.5703125" style="24" customWidth="1"/>
    <col min="11" max="16384" width="8.85546875" style="24"/>
  </cols>
  <sheetData>
    <row r="1" spans="1:10" ht="28.9" customHeight="1">
      <c r="A1" s="24" t="s">
        <v>0</v>
      </c>
      <c r="B1" s="119" t="s">
        <v>48</v>
      </c>
      <c r="C1" s="120"/>
      <c r="D1" s="121"/>
      <c r="E1" s="25" t="s">
        <v>27</v>
      </c>
      <c r="F1" s="26"/>
      <c r="H1" s="25">
        <v>6</v>
      </c>
      <c r="I1" s="124">
        <v>44699</v>
      </c>
      <c r="J1" s="124"/>
    </row>
    <row r="2" spans="1:10" ht="15.75" thickBot="1">
      <c r="B2" s="27" t="s">
        <v>31</v>
      </c>
    </row>
    <row r="3" spans="1:10" s="28" customFormat="1" ht="45">
      <c r="A3" s="94" t="s">
        <v>1</v>
      </c>
      <c r="B3" s="95" t="s">
        <v>2</v>
      </c>
      <c r="C3" s="95" t="s">
        <v>19</v>
      </c>
      <c r="D3" s="95" t="s">
        <v>3</v>
      </c>
      <c r="E3" s="96" t="s">
        <v>20</v>
      </c>
      <c r="F3" s="96" t="s">
        <v>4</v>
      </c>
      <c r="G3" s="97" t="s">
        <v>5</v>
      </c>
      <c r="H3" s="95" t="s">
        <v>6</v>
      </c>
      <c r="I3" s="95" t="s">
        <v>7</v>
      </c>
      <c r="J3" s="98" t="s">
        <v>8</v>
      </c>
    </row>
    <row r="4" spans="1:10" s="28" customFormat="1" ht="19.149999999999999" customHeight="1">
      <c r="A4" s="122"/>
      <c r="B4" s="32" t="s">
        <v>10</v>
      </c>
      <c r="C4" s="59">
        <v>69</v>
      </c>
      <c r="D4" s="60" t="s">
        <v>36</v>
      </c>
      <c r="E4" s="54" t="s">
        <v>35</v>
      </c>
      <c r="F4" s="82">
        <f>21.16*150/150</f>
        <v>21.16</v>
      </c>
      <c r="G4" s="9">
        <f>132.6*180/150</f>
        <v>159.12</v>
      </c>
      <c r="H4" s="9">
        <f>3.12*180/150</f>
        <v>3.7440000000000002</v>
      </c>
      <c r="I4" s="9">
        <f>5.1*180/150</f>
        <v>6.1199999999999992</v>
      </c>
      <c r="J4" s="10">
        <f>18.57*180/150</f>
        <v>22.283999999999999</v>
      </c>
    </row>
    <row r="5" spans="1:10" ht="31.9" customHeight="1">
      <c r="A5" s="122"/>
      <c r="B5" s="32" t="s">
        <v>10</v>
      </c>
      <c r="C5" s="59">
        <v>51</v>
      </c>
      <c r="D5" s="60" t="s">
        <v>38</v>
      </c>
      <c r="E5" s="54" t="s">
        <v>46</v>
      </c>
      <c r="F5" s="82">
        <f>33.32*45/45+5.37*45/45</f>
        <v>38.69</v>
      </c>
      <c r="G5" s="9">
        <v>94.5</v>
      </c>
      <c r="H5" s="9">
        <v>8.66</v>
      </c>
      <c r="I5" s="9">
        <v>4.47</v>
      </c>
      <c r="J5" s="10">
        <v>4.6399999999999997</v>
      </c>
    </row>
    <row r="6" spans="1:10" ht="15.75">
      <c r="A6" s="99"/>
      <c r="B6" s="32" t="s">
        <v>11</v>
      </c>
      <c r="C6" s="59">
        <v>57</v>
      </c>
      <c r="D6" s="60" t="s">
        <v>37</v>
      </c>
      <c r="E6" s="52">
        <v>200</v>
      </c>
      <c r="F6" s="82">
        <v>2.33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99"/>
      <c r="B7" s="32" t="s">
        <v>17</v>
      </c>
      <c r="C7" s="59" t="s">
        <v>21</v>
      </c>
      <c r="D7" s="60" t="s">
        <v>22</v>
      </c>
      <c r="E7" s="52">
        <v>25</v>
      </c>
      <c r="F7" s="82">
        <f>52.8*0.025</f>
        <v>1.32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75">
      <c r="A8" s="99"/>
      <c r="B8" s="35"/>
      <c r="C8" s="59" t="s">
        <v>21</v>
      </c>
      <c r="D8" s="60" t="s">
        <v>25</v>
      </c>
      <c r="E8" s="52">
        <v>26</v>
      </c>
      <c r="F8" s="82">
        <f>77.76*0.026</f>
        <v>2.02176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75">
      <c r="A9" s="99"/>
      <c r="B9" s="35"/>
      <c r="C9" s="89" t="s">
        <v>21</v>
      </c>
      <c r="D9" s="60" t="s">
        <v>50</v>
      </c>
      <c r="E9" s="52">
        <v>40</v>
      </c>
      <c r="F9" s="82">
        <f>330*0.04*1.4</f>
        <v>18.48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5" thickBot="1">
      <c r="A10" s="45"/>
      <c r="B10" s="46"/>
      <c r="C10" s="67"/>
      <c r="D10" s="68"/>
      <c r="E10" s="69"/>
      <c r="F10" s="87">
        <f>SUM(F4:F9)</f>
        <v>84.00175999999999</v>
      </c>
      <c r="G10" s="83">
        <f>SUM(G4:G9)</f>
        <v>576.78</v>
      </c>
      <c r="H10" s="83">
        <f>SUM(H4:H9)</f>
        <v>19.446000000000002</v>
      </c>
      <c r="I10" s="83">
        <f>SUM(I4:I9)</f>
        <v>13.827000000000002</v>
      </c>
      <c r="J10" s="84">
        <f>SUM(J4:J9)</f>
        <v>92.516999999999996</v>
      </c>
    </row>
    <row r="11" spans="1:10" ht="15.75">
      <c r="A11" s="31"/>
      <c r="B11" s="8" t="s">
        <v>15</v>
      </c>
      <c r="C11" s="63">
        <v>19</v>
      </c>
      <c r="D11" s="64" t="s">
        <v>41</v>
      </c>
      <c r="E11" s="54" t="s">
        <v>49</v>
      </c>
      <c r="F11" s="82">
        <f>45.84*45/53+13.86*45/37</f>
        <v>55.777511473737889</v>
      </c>
      <c r="G11" s="9">
        <f>144*80/90</f>
        <v>128</v>
      </c>
      <c r="H11" s="9">
        <f>10.02*80/90</f>
        <v>8.9066666666666663</v>
      </c>
      <c r="I11" s="9">
        <f>10.13*80/90</f>
        <v>9.0044444444444451</v>
      </c>
      <c r="J11" s="10">
        <f>3.03*80/90</f>
        <v>2.6933333333333329</v>
      </c>
    </row>
    <row r="12" spans="1:10" ht="15.75">
      <c r="A12" s="31"/>
      <c r="B12" s="8" t="s">
        <v>34</v>
      </c>
      <c r="C12" s="63">
        <v>41</v>
      </c>
      <c r="D12" s="64" t="s">
        <v>42</v>
      </c>
      <c r="E12" s="54" t="s">
        <v>56</v>
      </c>
      <c r="F12" s="82">
        <f>16.98*170/150</f>
        <v>19.244</v>
      </c>
      <c r="G12" s="9">
        <v>235.65</v>
      </c>
      <c r="H12" s="9">
        <v>3.77</v>
      </c>
      <c r="I12" s="9">
        <v>6.11</v>
      </c>
      <c r="J12" s="10">
        <v>41.4</v>
      </c>
    </row>
    <row r="13" spans="1:10" ht="15.75">
      <c r="A13" s="31"/>
      <c r="B13" s="32" t="s">
        <v>24</v>
      </c>
      <c r="C13" s="59">
        <v>17</v>
      </c>
      <c r="D13" s="60" t="s">
        <v>44</v>
      </c>
      <c r="E13" s="78">
        <v>200</v>
      </c>
      <c r="F13" s="100">
        <v>6.36</v>
      </c>
      <c r="G13" s="9">
        <v>80</v>
      </c>
      <c r="H13" s="9">
        <v>0.44</v>
      </c>
      <c r="I13" s="9">
        <v>0</v>
      </c>
      <c r="J13" s="10">
        <v>18.899999999999999</v>
      </c>
    </row>
    <row r="14" spans="1:10" ht="15.75">
      <c r="A14" s="31"/>
      <c r="B14" s="32" t="s">
        <v>18</v>
      </c>
      <c r="C14" s="59" t="s">
        <v>21</v>
      </c>
      <c r="D14" s="60" t="s">
        <v>25</v>
      </c>
      <c r="E14" s="78" t="s">
        <v>57</v>
      </c>
      <c r="F14" s="100">
        <f>77.76*0.026</f>
        <v>2.02176</v>
      </c>
      <c r="G14" s="33">
        <f>62.4*34/30</f>
        <v>70.72</v>
      </c>
      <c r="H14" s="33">
        <f>2.4*34/30</f>
        <v>2.7199999999999998</v>
      </c>
      <c r="I14" s="33">
        <f>0.45*34/30</f>
        <v>0.51</v>
      </c>
      <c r="J14" s="34">
        <f>11.37*34/30</f>
        <v>12.885999999999999</v>
      </c>
    </row>
    <row r="15" spans="1:10" ht="15.75">
      <c r="A15" s="31"/>
      <c r="B15" s="38" t="s">
        <v>16</v>
      </c>
      <c r="C15" s="76" t="s">
        <v>21</v>
      </c>
      <c r="D15" s="77" t="s">
        <v>22</v>
      </c>
      <c r="E15" s="79" t="s">
        <v>58</v>
      </c>
      <c r="F15" s="101">
        <f>52.8*0.025</f>
        <v>1.32</v>
      </c>
      <c r="G15" s="36">
        <f>60*34/30</f>
        <v>68</v>
      </c>
      <c r="H15" s="36">
        <f>1.47*34/30</f>
        <v>1.6659999999999999</v>
      </c>
      <c r="I15" s="36">
        <f>0.3*34/30</f>
        <v>0.33999999999999997</v>
      </c>
      <c r="J15" s="37">
        <f>13.44*34/30</f>
        <v>15.231999999999999</v>
      </c>
    </row>
    <row r="16" spans="1:10" ht="15.75">
      <c r="A16" s="31"/>
      <c r="B16" s="38"/>
      <c r="C16" s="89" t="s">
        <v>21</v>
      </c>
      <c r="D16" s="60" t="s">
        <v>50</v>
      </c>
      <c r="E16" s="52">
        <v>20</v>
      </c>
      <c r="F16" s="82">
        <f>330*0.02*1.4</f>
        <v>9.24</v>
      </c>
      <c r="G16" s="9">
        <f>63.56*40/20</f>
        <v>127.12</v>
      </c>
      <c r="H16" s="9">
        <f>1.07*40/20</f>
        <v>2.14</v>
      </c>
      <c r="I16" s="9">
        <f>1.4*40/20</f>
        <v>2.8</v>
      </c>
      <c r="J16" s="10">
        <f>11.67*40/20</f>
        <v>23.34</v>
      </c>
    </row>
    <row r="17" spans="1:10" ht="16.5" thickBot="1">
      <c r="A17" s="39"/>
      <c r="B17" s="40"/>
      <c r="C17" s="41"/>
      <c r="D17" s="41"/>
      <c r="E17" s="80"/>
      <c r="F17" s="102">
        <v>100</v>
      </c>
      <c r="G17" s="42">
        <f>SUM(G11:G15)</f>
        <v>582.37</v>
      </c>
      <c r="H17" s="42">
        <f>SUM(H11:H15)</f>
        <v>17.502666666666666</v>
      </c>
      <c r="I17" s="42">
        <f>SUM(I11:I15)</f>
        <v>15.964444444444444</v>
      </c>
      <c r="J17" s="43">
        <f>SUM(J11:J15)</f>
        <v>91.111333333333334</v>
      </c>
    </row>
    <row r="18" spans="1:10" ht="31.5">
      <c r="A18" s="29"/>
      <c r="B18" s="8" t="s">
        <v>14</v>
      </c>
      <c r="C18" s="63">
        <v>10</v>
      </c>
      <c r="D18" s="64" t="s">
        <v>59</v>
      </c>
      <c r="E18" s="103" t="s">
        <v>60</v>
      </c>
      <c r="F18" s="82">
        <f>19.82*235/250+2.32+8.55*1.5</f>
        <v>33.775800000000004</v>
      </c>
      <c r="G18" s="9">
        <v>123</v>
      </c>
      <c r="H18" s="9">
        <v>2.23</v>
      </c>
      <c r="I18" s="9">
        <v>5.0599999999999996</v>
      </c>
      <c r="J18" s="10">
        <v>13.48</v>
      </c>
    </row>
    <row r="19" spans="1:10" ht="15.75">
      <c r="A19" s="31"/>
      <c r="B19" s="8" t="s">
        <v>15</v>
      </c>
      <c r="C19" s="63">
        <v>19</v>
      </c>
      <c r="D19" s="64" t="s">
        <v>41</v>
      </c>
      <c r="E19" s="54" t="s">
        <v>49</v>
      </c>
      <c r="F19" s="82">
        <f>45.84*50/53+13.86*50/37</f>
        <v>61.975012748597649</v>
      </c>
      <c r="G19" s="9">
        <f>144*80/90</f>
        <v>128</v>
      </c>
      <c r="H19" s="9">
        <f>10.02*80/90</f>
        <v>8.9066666666666663</v>
      </c>
      <c r="I19" s="9">
        <f>10.13*80/90</f>
        <v>9.0044444444444451</v>
      </c>
      <c r="J19" s="10">
        <f>3.03*80/90</f>
        <v>2.6933333333333329</v>
      </c>
    </row>
    <row r="20" spans="1:10" ht="15.75">
      <c r="A20" s="31"/>
      <c r="B20" s="8" t="s">
        <v>34</v>
      </c>
      <c r="C20" s="63">
        <v>41</v>
      </c>
      <c r="D20" s="64" t="s">
        <v>42</v>
      </c>
      <c r="E20" s="54" t="s">
        <v>56</v>
      </c>
      <c r="F20" s="82">
        <f>16.98*170/150</f>
        <v>19.244</v>
      </c>
      <c r="G20" s="9">
        <f>235.65*160/150</f>
        <v>251.36</v>
      </c>
      <c r="H20" s="9">
        <f>3.77*160/150</f>
        <v>4.0213333333333336</v>
      </c>
      <c r="I20" s="9">
        <f>6.11*160/150</f>
        <v>6.5173333333333332</v>
      </c>
      <c r="J20" s="10">
        <f>41.4*160/150</f>
        <v>44.16</v>
      </c>
    </row>
    <row r="21" spans="1:10" ht="15.75">
      <c r="A21" s="31"/>
      <c r="B21" s="32" t="s">
        <v>24</v>
      </c>
      <c r="C21" s="59">
        <v>17</v>
      </c>
      <c r="D21" s="60" t="s">
        <v>44</v>
      </c>
      <c r="E21" s="78">
        <v>200</v>
      </c>
      <c r="F21" s="100">
        <v>6.36</v>
      </c>
      <c r="G21" s="9">
        <v>80</v>
      </c>
      <c r="H21" s="9">
        <v>0.44</v>
      </c>
      <c r="I21" s="9">
        <v>0</v>
      </c>
      <c r="J21" s="10">
        <v>18.899999999999999</v>
      </c>
    </row>
    <row r="22" spans="1:10" ht="15.75">
      <c r="A22" s="31"/>
      <c r="B22" s="32" t="s">
        <v>18</v>
      </c>
      <c r="C22" s="59" t="s">
        <v>21</v>
      </c>
      <c r="D22" s="60" t="s">
        <v>25</v>
      </c>
      <c r="E22" s="78" t="s">
        <v>52</v>
      </c>
      <c r="F22" s="100">
        <f>77.76*0.028</f>
        <v>2.1772800000000001</v>
      </c>
      <c r="G22" s="33">
        <f>62.4*37/30</f>
        <v>76.959999999999994</v>
      </c>
      <c r="H22" s="33">
        <f>2.4*37/30</f>
        <v>2.96</v>
      </c>
      <c r="I22" s="33">
        <f>0.45*37/30</f>
        <v>0.55500000000000005</v>
      </c>
      <c r="J22" s="34">
        <f>11.37*37/30</f>
        <v>14.023</v>
      </c>
    </row>
    <row r="23" spans="1:10" ht="15.75">
      <c r="A23" s="31"/>
      <c r="B23" s="38" t="s">
        <v>16</v>
      </c>
      <c r="C23" s="76" t="s">
        <v>21</v>
      </c>
      <c r="D23" s="77" t="s">
        <v>22</v>
      </c>
      <c r="E23" s="79" t="s">
        <v>52</v>
      </c>
      <c r="F23" s="101">
        <v>1.47</v>
      </c>
      <c r="G23" s="36">
        <f>60*36/30</f>
        <v>72</v>
      </c>
      <c r="H23" s="36">
        <f>1.47*36/30</f>
        <v>1.764</v>
      </c>
      <c r="I23" s="36">
        <f>0.3*36/30</f>
        <v>0.36</v>
      </c>
      <c r="J23" s="37">
        <f>13.44*36/30</f>
        <v>16.128</v>
      </c>
    </row>
    <row r="24" spans="1:10" ht="16.5" thickBot="1">
      <c r="A24" s="39"/>
      <c r="B24" s="40"/>
      <c r="C24" s="41"/>
      <c r="D24" s="41"/>
      <c r="E24" s="80"/>
      <c r="F24" s="102">
        <f>SUM(F18:F23)</f>
        <v>125.00209274859765</v>
      </c>
      <c r="G24" s="42">
        <f>SUM(G19:G23)</f>
        <v>608.32000000000005</v>
      </c>
      <c r="H24" s="42">
        <f>SUM(H19:H23)</f>
        <v>18.091999999999999</v>
      </c>
      <c r="I24" s="42">
        <f>SUM(I19:I23)</f>
        <v>16.436777777777777</v>
      </c>
      <c r="J24" s="43">
        <f>SUM(J19:J23)</f>
        <v>95.904333333333327</v>
      </c>
    </row>
    <row r="25" spans="1:10" s="1" customFormat="1">
      <c r="E25" s="17"/>
      <c r="F25" s="17"/>
    </row>
    <row r="26" spans="1:10" s="1" customFormat="1">
      <c r="A26" s="23" t="s">
        <v>29</v>
      </c>
      <c r="E26" s="17"/>
      <c r="F26" s="17"/>
    </row>
    <row r="27" spans="1:10" s="1" customFormat="1">
      <c r="E27" s="17"/>
      <c r="F27" s="17"/>
    </row>
    <row r="28" spans="1:10" s="1" customFormat="1">
      <c r="A28" s="23" t="s">
        <v>30</v>
      </c>
      <c r="E28" s="17"/>
      <c r="F28" s="17"/>
    </row>
    <row r="29" spans="1:10" s="1" customFormat="1">
      <c r="E29" s="17"/>
      <c r="F29" s="17"/>
    </row>
  </sheetData>
  <mergeCells count="3">
    <mergeCell ref="B1:D1"/>
    <mergeCell ref="A4:A5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2022-05-17T04:43:20Z</cp:lastPrinted>
  <dcterms:created xsi:type="dcterms:W3CDTF">2015-06-05T18:19:34Z</dcterms:created>
  <dcterms:modified xsi:type="dcterms:W3CDTF">2022-05-17T04:43:45Z</dcterms:modified>
</cp:coreProperties>
</file>