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05" yWindow="-105" windowWidth="19440" windowHeight="12570"/>
  </bookViews>
  <sheets>
    <sheet name="бесплатно" sheetId="1" r:id="rId1"/>
    <sheet name="платно" sheetId="2" r:id="rId2"/>
  </sheets>
  <definedNames>
    <definedName name="_xlnm.Print_Area" localSheetId="0">бесплатно!$A$1:$J$45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1" i="1"/>
  <c r="F36"/>
  <c r="F39"/>
  <c r="F38"/>
  <c r="F37"/>
  <c r="F21"/>
  <c r="F15"/>
  <c r="F16"/>
  <c r="F31"/>
  <c r="F29"/>
  <c r="F28"/>
  <c r="F27"/>
  <c r="F10"/>
  <c r="F8"/>
  <c r="F6"/>
  <c r="F24" i="2" l="1"/>
  <c r="F21"/>
  <c r="F19"/>
  <c r="F22"/>
  <c r="F16"/>
  <c r="F14"/>
  <c r="F13"/>
  <c r="F12"/>
  <c r="F9" l="1"/>
  <c r="F8"/>
  <c r="F7"/>
  <c r="F6"/>
  <c r="F26" l="1"/>
  <c r="G18" l="1"/>
  <c r="G22" i="1"/>
  <c r="F14"/>
  <c r="J24" i="2"/>
  <c r="I24"/>
  <c r="H24"/>
  <c r="G24"/>
  <c r="J22"/>
  <c r="I22"/>
  <c r="H22"/>
  <c r="G22"/>
  <c r="J25"/>
  <c r="I25"/>
  <c r="H25"/>
  <c r="G25"/>
  <c r="J17"/>
  <c r="I17"/>
  <c r="J16"/>
  <c r="I16"/>
  <c r="H17"/>
  <c r="H16"/>
  <c r="G17"/>
  <c r="G16"/>
  <c r="J14"/>
  <c r="I14"/>
  <c r="H14"/>
  <c r="G14"/>
  <c r="J6" i="1"/>
  <c r="I6"/>
  <c r="H6"/>
  <c r="G6"/>
  <c r="J10" i="2"/>
  <c r="J9"/>
  <c r="I10"/>
  <c r="I9"/>
  <c r="H10"/>
  <c r="H9"/>
  <c r="G10"/>
  <c r="G9"/>
  <c r="J6"/>
  <c r="I6"/>
  <c r="H6"/>
  <c r="G6"/>
  <c r="J8"/>
  <c r="I8"/>
  <c r="H8"/>
  <c r="G8"/>
  <c r="J7"/>
  <c r="I7"/>
  <c r="H7"/>
  <c r="G7"/>
  <c r="J42" i="1"/>
  <c r="I42"/>
  <c r="H42"/>
  <c r="G42"/>
  <c r="J41"/>
  <c r="I41"/>
  <c r="H41"/>
  <c r="G41"/>
  <c r="J38"/>
  <c r="I38"/>
  <c r="H38"/>
  <c r="G38"/>
  <c r="J36"/>
  <c r="I36"/>
  <c r="H36"/>
  <c r="H43" s="1"/>
  <c r="G36"/>
  <c r="J31"/>
  <c r="J30"/>
  <c r="I31"/>
  <c r="I30"/>
  <c r="H31"/>
  <c r="H30"/>
  <c r="G31"/>
  <c r="G30"/>
  <c r="J27"/>
  <c r="I27"/>
  <c r="H27"/>
  <c r="G27"/>
  <c r="J29"/>
  <c r="I29"/>
  <c r="H29"/>
  <c r="G29"/>
  <c r="J28"/>
  <c r="I28"/>
  <c r="H28"/>
  <c r="G28"/>
  <c r="J10"/>
  <c r="J9"/>
  <c r="I10"/>
  <c r="I9"/>
  <c r="H10"/>
  <c r="H9"/>
  <c r="G10"/>
  <c r="G9"/>
  <c r="J8"/>
  <c r="I8"/>
  <c r="H8"/>
  <c r="G8"/>
  <c r="J7"/>
  <c r="I7"/>
  <c r="H7"/>
  <c r="G7"/>
  <c r="J21"/>
  <c r="J20"/>
  <c r="I21"/>
  <c r="I20"/>
  <c r="H21"/>
  <c r="H20"/>
  <c r="G21"/>
  <c r="G20"/>
  <c r="J15"/>
  <c r="I15"/>
  <c r="H15"/>
  <c r="G15"/>
  <c r="F43" l="1"/>
  <c r="F11"/>
  <c r="I11" i="2"/>
  <c r="H11"/>
  <c r="J11"/>
  <c r="I43" i="1"/>
  <c r="J43"/>
  <c r="F11" i="2"/>
  <c r="F32" i="1"/>
  <c r="G43"/>
  <c r="G32"/>
  <c r="G11" i="2"/>
  <c r="I32" i="1"/>
  <c r="J32"/>
  <c r="H32"/>
  <c r="F35"/>
  <c r="J35"/>
  <c r="I35"/>
  <c r="H35"/>
  <c r="G35"/>
  <c r="F18" i="2" l="1"/>
  <c r="F22" i="1" l="1"/>
  <c r="J26" i="2" l="1"/>
  <c r="H11" i="1"/>
  <c r="G11"/>
  <c r="G26" i="2" l="1"/>
  <c r="I26"/>
  <c r="H26"/>
  <c r="G14" i="1" l="1"/>
  <c r="J11"/>
  <c r="I11" l="1"/>
  <c r="J22"/>
  <c r="I22"/>
  <c r="H22"/>
  <c r="J14"/>
  <c r="I14"/>
  <c r="H14"/>
  <c r="H18" i="2" l="1"/>
  <c r="I18"/>
  <c r="J18"/>
</calcChain>
</file>

<file path=xl/sharedStrings.xml><?xml version="1.0" encoding="utf-8"?>
<sst xmlns="http://schemas.openxmlformats.org/spreadsheetml/2006/main" count="185" uniqueCount="70">
  <si>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</si>
  <si>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</si>
  <si>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</si>
  <si>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</si>
  <si>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</si>
  <si>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</si>
  <si>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</si>
  <si>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</si>
  <si>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</si>
  <si>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</si>
  <si>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</si>
  <si>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</si>
  <si>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</si>
  <si>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</si>
  <si>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</si>
  <si>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</si>
  <si>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</si>
  <si>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</si>
  <si>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</si>
  <si>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</si>
  <si>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</si>
  <si>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</si>
  <si>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</si>
  <si>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</si>
  <si>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</si>
  <si>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</si>
  <si>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</si>
  <si>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</si>
  <si>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11-18 лет</t>
  </si>
  <si>
    <t>Зав.производством _________________________________</t>
  </si>
  <si>
    <t>Бухгалтер калькулятор _______________________________</t>
  </si>
  <si>
    <t>За наличный расчет</t>
  </si>
  <si>
    <t>Масло сливочное</t>
  </si>
  <si>
    <t>добавки</t>
  </si>
  <si>
    <t>200</t>
  </si>
  <si>
    <t xml:space="preserve"> </t>
  </si>
  <si>
    <t>Сыр (порциями)</t>
  </si>
  <si>
    <t>Батон</t>
  </si>
  <si>
    <t>Зав.производством __________________________________</t>
  </si>
  <si>
    <t>90</t>
  </si>
  <si>
    <t>гарнир</t>
  </si>
  <si>
    <t>добавка</t>
  </si>
  <si>
    <t>Тефтели</t>
  </si>
  <si>
    <t>Капуста тушеная</t>
  </si>
  <si>
    <t>Сок</t>
  </si>
  <si>
    <t>Суп картофельный с клецками с мясом птицы</t>
  </si>
  <si>
    <t>Каша "Дружба"</t>
  </si>
  <si>
    <t>Творожное печенье</t>
  </si>
  <si>
    <t>Яблоко</t>
  </si>
  <si>
    <t>110</t>
  </si>
  <si>
    <t>Соус сметанный с томатом</t>
  </si>
  <si>
    <t>150</t>
  </si>
  <si>
    <t xml:space="preserve">Компот из сухофруктов </t>
  </si>
  <si>
    <t>39</t>
  </si>
  <si>
    <t>20</t>
  </si>
  <si>
    <t>35</t>
  </si>
  <si>
    <t>190/55/5</t>
  </si>
  <si>
    <t>180</t>
  </si>
  <si>
    <t>МБОУ Элитовская СОШ</t>
  </si>
  <si>
    <t>Картофель отварной</t>
  </si>
  <si>
    <t>36</t>
  </si>
  <si>
    <t>Какао с молоком</t>
  </si>
  <si>
    <t>25</t>
  </si>
  <si>
    <t>190/55/10</t>
  </si>
  <si>
    <t>130</t>
  </si>
  <si>
    <t>Снежок</t>
  </si>
  <si>
    <t>34</t>
  </si>
  <si>
    <t>33</t>
  </si>
  <si>
    <t xml:space="preserve">Икра свекольная </t>
  </si>
  <si>
    <t>65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</si>
</sst>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14" xfId="0" applyFill="1" applyBorder="1"/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/>
    <xf numFmtId="0" fontId="3" fillId="0" borderId="0" xfId="0" applyFont="1" applyFill="1" applyAlignment="1">
      <alignment vertical="center"/>
    </xf>
    <xf numFmtId="0" fontId="3" fillId="0" borderId="5" xfId="0" applyFont="1" applyFill="1" applyBorder="1"/>
    <xf numFmtId="0" fontId="3" fillId="0" borderId="8" xfId="0" applyFont="1" applyFill="1" applyBorder="1"/>
    <xf numFmtId="0" fontId="3" fillId="0" borderId="14" xfId="0" applyFont="1" applyFill="1" applyBorder="1"/>
    <xf numFmtId="0" fontId="3" fillId="0" borderId="17" xfId="0" applyFont="1" applyFill="1" applyBorder="1"/>
    <xf numFmtId="0" fontId="3" fillId="0" borderId="18" xfId="0" applyFont="1" applyFill="1" applyBorder="1" applyProtection="1">
      <protection locked="0"/>
    </xf>
    <xf numFmtId="0" fontId="3" fillId="0" borderId="18" xfId="0" applyFont="1" applyFill="1" applyBorder="1"/>
    <xf numFmtId="2" fontId="3" fillId="0" borderId="18" xfId="0" applyNumberFormat="1" applyFont="1" applyFill="1" applyBorder="1"/>
    <xf numFmtId="2" fontId="3" fillId="0" borderId="19" xfId="0" applyNumberFormat="1" applyFont="1" applyFill="1" applyBorder="1"/>
    <xf numFmtId="2" fontId="0" fillId="0" borderId="20" xfId="0" applyNumberFormat="1" applyFill="1" applyBorder="1" applyProtection="1">
      <protection locked="0"/>
    </xf>
    <xf numFmtId="0" fontId="0" fillId="0" borderId="17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/>
    <xf numFmtId="2" fontId="0" fillId="0" borderId="18" xfId="0" applyNumberFormat="1" applyFill="1" applyBorder="1"/>
    <xf numFmtId="2" fontId="0" fillId="0" borderId="19" xfId="0" applyNumberFormat="1" applyFill="1" applyBorder="1"/>
    <xf numFmtId="0" fontId="6" fillId="0" borderId="11" xfId="0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 applyProtection="1">
      <alignment horizontal="center"/>
      <protection locked="0"/>
    </xf>
    <xf numFmtId="49" fontId="6" fillId="0" borderId="1" xfId="0" applyNumberFormat="1" applyFont="1" applyFill="1" applyBorder="1" applyAlignment="1" applyProtection="1">
      <alignment horizontal="center"/>
      <protection locked="0"/>
    </xf>
    <xf numFmtId="49" fontId="6" fillId="0" borderId="14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Protection="1">
      <protection locked="0"/>
    </xf>
    <xf numFmtId="0" fontId="0" fillId="0" borderId="21" xfId="0" applyFill="1" applyBorder="1"/>
    <xf numFmtId="0" fontId="2" fillId="0" borderId="18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wrapText="1"/>
      <protection locked="0"/>
    </xf>
    <xf numFmtId="1" fontId="6" fillId="0" borderId="18" xfId="0" applyNumberFormat="1" applyFont="1" applyFill="1" applyBorder="1" applyAlignment="1" applyProtection="1">
      <alignment horizontal="center"/>
      <protection locked="0"/>
    </xf>
    <xf numFmtId="0" fontId="0" fillId="0" borderId="22" xfId="0" applyFill="1" applyBorder="1"/>
    <xf numFmtId="0" fontId="0" fillId="0" borderId="23" xfId="0" applyFill="1" applyBorder="1" applyProtection="1">
      <protection locked="0"/>
    </xf>
    <xf numFmtId="0" fontId="2" fillId="0" borderId="23" xfId="0" applyFont="1" applyFill="1" applyBorder="1" applyAlignment="1" applyProtection="1">
      <alignment horizontal="center"/>
      <protection locked="0"/>
    </xf>
    <xf numFmtId="0" fontId="2" fillId="0" borderId="23" xfId="0" applyFont="1" applyFill="1" applyBorder="1" applyAlignment="1" applyProtection="1">
      <alignment wrapText="1"/>
      <protection locked="0"/>
    </xf>
    <xf numFmtId="1" fontId="6" fillId="0" borderId="23" xfId="0" applyNumberFormat="1" applyFont="1" applyFill="1" applyBorder="1" applyAlignment="1" applyProtection="1">
      <alignment horizontal="center"/>
      <protection locked="0"/>
    </xf>
    <xf numFmtId="2" fontId="0" fillId="0" borderId="23" xfId="0" applyNumberFormat="1" applyFill="1" applyBorder="1" applyProtection="1">
      <protection locked="0"/>
    </xf>
    <xf numFmtId="0" fontId="8" fillId="0" borderId="18" xfId="0" applyFont="1" applyFill="1" applyBorder="1" applyAlignment="1">
      <alignment horizontal="center"/>
    </xf>
    <xf numFmtId="2" fontId="6" fillId="0" borderId="1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2" fontId="6" fillId="0" borderId="6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/>
    </xf>
    <xf numFmtId="0" fontId="3" fillId="0" borderId="14" xfId="0" applyFont="1" applyFill="1" applyBorder="1" applyAlignment="1"/>
    <xf numFmtId="0" fontId="3" fillId="0" borderId="4" xfId="0" applyFont="1" applyFill="1" applyBorder="1" applyAlignment="1"/>
    <xf numFmtId="0" fontId="3" fillId="0" borderId="16" xfId="0" applyFont="1" applyFill="1" applyBorder="1" applyAlignment="1"/>
    <xf numFmtId="0" fontId="0" fillId="0" borderId="4" xfId="0" applyFill="1" applyBorder="1"/>
    <xf numFmtId="0" fontId="3" fillId="0" borderId="4" xfId="0" applyFont="1" applyFill="1" applyBorder="1"/>
    <xf numFmtId="2" fontId="0" fillId="0" borderId="25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49" fontId="6" fillId="0" borderId="1" xfId="0" applyNumberFormat="1" applyFont="1" applyFill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49" fontId="6" fillId="0" borderId="1" xfId="0" applyNumberFormat="1" applyFont="1" applyBorder="1" applyAlignment="1" applyProtection="1">
      <alignment horizontal="center"/>
      <protection locked="0"/>
    </xf>
    <xf numFmtId="2" fontId="6" fillId="0" borderId="1" xfId="0" applyNumberFormat="1" applyFont="1" applyBorder="1" applyAlignment="1" applyProtection="1">
      <alignment horizontal="center"/>
      <protection locked="0"/>
    </xf>
    <xf numFmtId="2" fontId="0" fillId="0" borderId="1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wrapText="1"/>
      <protection locked="0"/>
    </xf>
    <xf numFmtId="49" fontId="6" fillId="0" borderId="6" xfId="0" applyNumberFormat="1" applyFont="1" applyBorder="1" applyAlignment="1" applyProtection="1">
      <alignment horizontal="center"/>
      <protection locked="0"/>
    </xf>
    <xf numFmtId="2" fontId="6" fillId="0" borderId="6" xfId="0" applyNumberFormat="1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wrapText="1"/>
      <protection locked="0"/>
    </xf>
    <xf numFmtId="49" fontId="6" fillId="0" borderId="4" xfId="0" applyNumberFormat="1" applyFont="1" applyBorder="1" applyAlignment="1" applyProtection="1">
      <alignment horizontal="center"/>
      <protection locked="0"/>
    </xf>
    <xf numFmtId="2" fontId="6" fillId="0" borderId="4" xfId="0" applyNumberFormat="1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wrapText="1"/>
      <protection locked="0"/>
    </xf>
    <xf numFmtId="1" fontId="6" fillId="0" borderId="1" xfId="0" applyNumberFormat="1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wrapText="1"/>
      <protection locked="0"/>
    </xf>
    <xf numFmtId="1" fontId="6" fillId="0" borderId="6" xfId="0" applyNumberFormat="1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wrapText="1"/>
      <protection locked="0"/>
    </xf>
    <xf numFmtId="1" fontId="6" fillId="0" borderId="4" xfId="0" applyNumberFormat="1" applyFont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0" fontId="3" fillId="0" borderId="13" xfId="0" applyFont="1" applyFill="1" applyBorder="1" applyAlignment="1" applyProtection="1">
      <alignment wrapText="1"/>
      <protection locked="0"/>
    </xf>
    <xf numFmtId="0" fontId="3" fillId="0" borderId="3" xfId="0" applyFont="1" applyFill="1" applyBorder="1" applyAlignment="1" applyProtection="1">
      <alignment wrapText="1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  <xf numFmtId="14" fontId="3" fillId="0" borderId="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45"/>
  <sheetViews>
    <sheetView tabSelected="1" zoomScaleNormal="100" workbookViewId="0">
      <selection activeCell="B2" sqref="B1:D2"/>
    </sheetView>
  </sheetViews>
  <sheetFormatPr defaultColWidth="8.85546875" defaultRowHeight="15"/>
  <cols>
    <col min="1" max="1" width="11.7109375" style="1" bestFit="1" customWidth="1"/>
    <col min="2" max="2" width="11.5703125" style="1" customWidth="1"/>
    <col min="3" max="3" width="7.28515625" style="1" bestFit="1" customWidth="1"/>
    <col min="4" max="4" width="24.7109375" style="1" bestFit="1" customWidth="1"/>
    <col min="5" max="5" width="8.28515625" style="16" bestFit="1" customWidth="1"/>
    <col min="6" max="6" width="8.42578125" style="16" bestFit="1" customWidth="1"/>
    <col min="7" max="7" width="7.7109375" style="1" customWidth="1"/>
    <col min="8" max="8" width="6.85546875" style="1" bestFit="1" customWidth="1"/>
    <col min="9" max="9" width="6.5703125" style="1" customWidth="1"/>
    <col min="10" max="10" width="8.5703125" style="1" customWidth="1"/>
    <col min="11" max="16384" width="8.85546875" style="1"/>
  </cols>
  <sheetData>
    <row r="1" spans="1:10" ht="28.9" customHeight="1">
      <c r="A1" s="1" t="s">
        <v>0</v>
      </c>
      <c r="B1" s="113" t="s">
        <v>58</v>
      </c>
      <c r="C1" s="114"/>
      <c r="D1" s="115"/>
      <c r="E1" s="16" t="s">
        <v>27</v>
      </c>
      <c r="F1" s="15"/>
      <c r="H1" s="1">
        <v>12</v>
      </c>
      <c r="I1" s="119">
        <v>44664</v>
      </c>
      <c r="J1" s="119"/>
    </row>
    <row r="2" spans="1:10" ht="15.75" thickBot="1">
      <c r="B2" s="2" t="s">
        <v>26</v>
      </c>
    </row>
    <row r="3" spans="1:10" s="21" customFormat="1" ht="30.75" thickBot="1">
      <c r="A3" s="17" t="s">
        <v>1</v>
      </c>
      <c r="B3" s="18" t="s">
        <v>2</v>
      </c>
      <c r="C3" s="18" t="s">
        <v>19</v>
      </c>
      <c r="D3" s="18" t="s">
        <v>3</v>
      </c>
      <c r="E3" s="42" t="s">
        <v>20</v>
      </c>
      <c r="F3" s="42" t="s">
        <v>4</v>
      </c>
      <c r="G3" s="19" t="s">
        <v>5</v>
      </c>
      <c r="H3" s="18" t="s">
        <v>6</v>
      </c>
      <c r="I3" s="18" t="s">
        <v>7</v>
      </c>
      <c r="J3" s="20" t="s">
        <v>8</v>
      </c>
    </row>
    <row r="4" spans="1:10" ht="15.75">
      <c r="A4" s="3" t="s">
        <v>9</v>
      </c>
      <c r="B4" s="4" t="s">
        <v>10</v>
      </c>
      <c r="C4" s="95">
        <v>46</v>
      </c>
      <c r="D4" s="96" t="s">
        <v>46</v>
      </c>
      <c r="E4" s="97" t="s">
        <v>34</v>
      </c>
      <c r="F4" s="98">
        <v>14.28</v>
      </c>
      <c r="G4" s="86">
        <v>193.84</v>
      </c>
      <c r="H4" s="86">
        <v>5.21</v>
      </c>
      <c r="I4" s="86">
        <v>7.16</v>
      </c>
      <c r="J4" s="87">
        <v>27.84</v>
      </c>
    </row>
    <row r="5" spans="1:10" ht="15.75">
      <c r="A5" s="7"/>
      <c r="B5" s="84" t="s">
        <v>11</v>
      </c>
      <c r="C5" s="99">
        <v>36</v>
      </c>
      <c r="D5" s="100" t="s">
        <v>61</v>
      </c>
      <c r="E5" s="101" t="s">
        <v>34</v>
      </c>
      <c r="F5" s="102">
        <v>12.32</v>
      </c>
      <c r="G5" s="9">
        <v>117</v>
      </c>
      <c r="H5" s="9">
        <v>4.45</v>
      </c>
      <c r="I5" s="9">
        <v>3.6</v>
      </c>
      <c r="J5" s="10">
        <v>16.149999999999999</v>
      </c>
    </row>
    <row r="6" spans="1:10" ht="15.75">
      <c r="A6" s="7"/>
      <c r="B6" s="80" t="s">
        <v>33</v>
      </c>
      <c r="C6" s="103">
        <v>6</v>
      </c>
      <c r="D6" s="104" t="s">
        <v>36</v>
      </c>
      <c r="E6" s="105">
        <v>12</v>
      </c>
      <c r="F6" s="92">
        <f>8.61*12/12</f>
        <v>8.61</v>
      </c>
      <c r="G6" s="9">
        <f>36*16/12</f>
        <v>48</v>
      </c>
      <c r="H6" s="9">
        <f>1.36*16/12</f>
        <v>1.8133333333333335</v>
      </c>
      <c r="I6" s="9">
        <f>2.76*16/12</f>
        <v>3.6799999999999997</v>
      </c>
      <c r="J6" s="10">
        <f>0.31*16/12</f>
        <v>0.41333333333333333</v>
      </c>
    </row>
    <row r="7" spans="1:10" ht="15.75">
      <c r="A7" s="7"/>
      <c r="B7" s="82"/>
      <c r="C7" s="103">
        <v>3</v>
      </c>
      <c r="D7" s="104" t="s">
        <v>32</v>
      </c>
      <c r="E7" s="105">
        <v>10</v>
      </c>
      <c r="F7" s="92">
        <v>9</v>
      </c>
      <c r="G7" s="9">
        <f>64.7*10/10</f>
        <v>64.7</v>
      </c>
      <c r="H7" s="9">
        <f>0.08*10/10</f>
        <v>0.08</v>
      </c>
      <c r="I7" s="9">
        <f>7.15*10/10</f>
        <v>7.15</v>
      </c>
      <c r="J7" s="10">
        <f>0.12*10/10</f>
        <v>0.12</v>
      </c>
    </row>
    <row r="8" spans="1:10" ht="15.75">
      <c r="A8" s="7"/>
      <c r="B8" s="81"/>
      <c r="C8" s="106">
        <v>38</v>
      </c>
      <c r="D8" s="104" t="s">
        <v>47</v>
      </c>
      <c r="E8" s="105">
        <v>19</v>
      </c>
      <c r="F8" s="92">
        <f>114.6*0.019</f>
        <v>2.1774</v>
      </c>
      <c r="G8" s="9">
        <f>144.74</f>
        <v>144.74</v>
      </c>
      <c r="H8" s="9">
        <f>3.53</f>
        <v>3.53</v>
      </c>
      <c r="I8" s="9">
        <f>9.88</f>
        <v>9.8800000000000008</v>
      </c>
      <c r="J8" s="10">
        <f>3.53</f>
        <v>3.53</v>
      </c>
    </row>
    <row r="9" spans="1:10" ht="15.75">
      <c r="A9" s="7"/>
      <c r="B9" s="30" t="s">
        <v>17</v>
      </c>
      <c r="C9" s="103" t="s">
        <v>21</v>
      </c>
      <c r="D9" s="104" t="s">
        <v>22</v>
      </c>
      <c r="E9" s="105">
        <v>32</v>
      </c>
      <c r="F9" s="92">
        <v>1.4</v>
      </c>
      <c r="G9" s="9">
        <f>40*26/20</f>
        <v>52</v>
      </c>
      <c r="H9" s="9">
        <f>0.98*26/20</f>
        <v>1.274</v>
      </c>
      <c r="I9" s="9">
        <f>0.2*26/20</f>
        <v>0.26</v>
      </c>
      <c r="J9" s="10">
        <f>8.95*26/20</f>
        <v>11.635</v>
      </c>
    </row>
    <row r="10" spans="1:10" ht="15.75">
      <c r="A10" s="7"/>
      <c r="B10" s="54"/>
      <c r="C10" s="103" t="s">
        <v>21</v>
      </c>
      <c r="D10" s="104" t="s">
        <v>37</v>
      </c>
      <c r="E10" s="105">
        <v>32</v>
      </c>
      <c r="F10" s="92">
        <f>83.75*0.032</f>
        <v>2.68</v>
      </c>
      <c r="G10" s="9">
        <f>41.6*27/20</f>
        <v>56.160000000000004</v>
      </c>
      <c r="H10" s="9">
        <f>1.6*27/20</f>
        <v>2.16</v>
      </c>
      <c r="I10" s="9">
        <f>0.03*27/20</f>
        <v>4.0499999999999994E-2</v>
      </c>
      <c r="J10" s="10">
        <f>8.02*27/20</f>
        <v>10.827</v>
      </c>
    </row>
    <row r="11" spans="1:10" ht="16.5" thickBot="1">
      <c r="A11" s="59"/>
      <c r="B11" s="60"/>
      <c r="C11" s="61"/>
      <c r="D11" s="62"/>
      <c r="E11" s="63"/>
      <c r="F11" s="70">
        <f>SUM(F4:F10)</f>
        <v>50.467399999999998</v>
      </c>
      <c r="G11" s="64">
        <f>SUM(G4:G10)</f>
        <v>676.43999999999994</v>
      </c>
      <c r="H11" s="64">
        <f>SUM(H4:H10)</f>
        <v>18.517333333333333</v>
      </c>
      <c r="I11" s="64">
        <f>SUM(I4:I10)</f>
        <v>31.770500000000002</v>
      </c>
      <c r="J11" s="85">
        <f>SUM(J4:J10)</f>
        <v>70.515333333333331</v>
      </c>
    </row>
    <row r="12" spans="1:10" ht="15.75">
      <c r="A12" s="3" t="s">
        <v>23</v>
      </c>
      <c r="B12" s="4"/>
      <c r="C12" s="107">
        <v>63</v>
      </c>
      <c r="D12" s="108" t="s">
        <v>65</v>
      </c>
      <c r="E12" s="109">
        <v>200</v>
      </c>
      <c r="F12" s="98">
        <v>23.56</v>
      </c>
      <c r="G12" s="5">
        <v>106</v>
      </c>
      <c r="H12" s="5">
        <v>5.8</v>
      </c>
      <c r="I12" s="5">
        <v>5</v>
      </c>
      <c r="J12" s="6">
        <v>8</v>
      </c>
    </row>
    <row r="13" spans="1:10" ht="15.75">
      <c r="A13" s="7"/>
      <c r="B13" s="83"/>
      <c r="C13" s="110">
        <v>62</v>
      </c>
      <c r="D13" s="111" t="s">
        <v>48</v>
      </c>
      <c r="E13" s="112">
        <v>95</v>
      </c>
      <c r="F13" s="102">
        <v>14.3</v>
      </c>
      <c r="G13" s="13">
        <v>144</v>
      </c>
      <c r="H13" s="13">
        <v>2.25</v>
      </c>
      <c r="I13" s="13">
        <v>0.75</v>
      </c>
      <c r="J13" s="36">
        <v>31.5</v>
      </c>
    </row>
    <row r="14" spans="1:10" ht="16.5" thickBot="1">
      <c r="A14" s="55"/>
      <c r="B14" s="38"/>
      <c r="C14" s="56"/>
      <c r="D14" s="57"/>
      <c r="E14" s="58"/>
      <c r="F14" s="71">
        <f>SUM(F12:F13)</f>
        <v>37.86</v>
      </c>
      <c r="G14" s="67">
        <f>SUM(G12:G13)</f>
        <v>250</v>
      </c>
      <c r="H14" s="67">
        <f>SUM(H12:H13)</f>
        <v>8.0500000000000007</v>
      </c>
      <c r="I14" s="67">
        <f>SUM(I12:I13)</f>
        <v>5.75</v>
      </c>
      <c r="J14" s="68">
        <f>SUM(J12:J13)</f>
        <v>39.5</v>
      </c>
    </row>
    <row r="15" spans="1:10" ht="15.75">
      <c r="A15" s="3" t="s">
        <v>12</v>
      </c>
      <c r="B15" s="4" t="s">
        <v>13</v>
      </c>
      <c r="C15" s="48">
        <v>59</v>
      </c>
      <c r="D15" s="49" t="s">
        <v>68</v>
      </c>
      <c r="E15" s="43" t="s">
        <v>55</v>
      </c>
      <c r="F15" s="69">
        <f>6.37*35/60</f>
        <v>3.7158333333333338</v>
      </c>
      <c r="G15" s="5">
        <f>75*60/60</f>
        <v>75</v>
      </c>
      <c r="H15" s="5">
        <f>1.26*60/60</f>
        <v>1.26</v>
      </c>
      <c r="I15" s="5">
        <f>4.08*60/60</f>
        <v>4.08</v>
      </c>
      <c r="J15" s="6">
        <f>8.28*60/60</f>
        <v>8.2799999999999994</v>
      </c>
    </row>
    <row r="16" spans="1:10" ht="31.5">
      <c r="A16" s="7"/>
      <c r="B16" s="8" t="s">
        <v>14</v>
      </c>
      <c r="C16" s="50">
        <v>55</v>
      </c>
      <c r="D16" s="51" t="s">
        <v>45</v>
      </c>
      <c r="E16" s="88" t="s">
        <v>56</v>
      </c>
      <c r="F16" s="66">
        <f>5.1*190/185+5.87*55/65+5.24*0.5</f>
        <v>12.824760914760915</v>
      </c>
      <c r="G16" s="9">
        <v>193.5</v>
      </c>
      <c r="H16" s="9">
        <v>5.23</v>
      </c>
      <c r="I16" s="9">
        <v>6.28</v>
      </c>
      <c r="J16" s="10">
        <v>29</v>
      </c>
    </row>
    <row r="17" spans="1:10" ht="15.75">
      <c r="A17" s="7"/>
      <c r="B17" s="8" t="s">
        <v>15</v>
      </c>
      <c r="C17" s="50">
        <v>12</v>
      </c>
      <c r="D17" s="51" t="s">
        <v>42</v>
      </c>
      <c r="E17" s="44" t="s">
        <v>39</v>
      </c>
      <c r="F17" s="66">
        <v>29.21</v>
      </c>
      <c r="G17" s="9">
        <v>200.65</v>
      </c>
      <c r="H17" s="9">
        <v>10.73</v>
      </c>
      <c r="I17" s="9">
        <v>12.68</v>
      </c>
      <c r="J17" s="10">
        <v>11.02</v>
      </c>
    </row>
    <row r="18" spans="1:10" ht="15.75">
      <c r="A18" s="7"/>
      <c r="B18" s="8" t="s">
        <v>40</v>
      </c>
      <c r="C18" s="50">
        <v>71</v>
      </c>
      <c r="D18" s="51" t="s">
        <v>43</v>
      </c>
      <c r="E18" s="44" t="s">
        <v>51</v>
      </c>
      <c r="F18" s="66">
        <v>14.64</v>
      </c>
      <c r="G18" s="9">
        <v>124.5</v>
      </c>
      <c r="H18" s="9">
        <v>3</v>
      </c>
      <c r="I18" s="9">
        <v>5.4</v>
      </c>
      <c r="J18" s="10">
        <v>15.9</v>
      </c>
    </row>
    <row r="19" spans="1:10" ht="15.75">
      <c r="A19" s="7"/>
      <c r="B19" s="8" t="s">
        <v>24</v>
      </c>
      <c r="C19" s="50">
        <v>25</v>
      </c>
      <c r="D19" s="51" t="s">
        <v>44</v>
      </c>
      <c r="E19" s="44">
        <v>200</v>
      </c>
      <c r="F19" s="66">
        <v>11.66</v>
      </c>
      <c r="G19" s="9">
        <v>136</v>
      </c>
      <c r="H19" s="9">
        <v>0.6</v>
      </c>
      <c r="I19" s="9">
        <v>0</v>
      </c>
      <c r="J19" s="10">
        <v>33</v>
      </c>
    </row>
    <row r="20" spans="1:10" ht="15.75">
      <c r="A20" s="7"/>
      <c r="B20" s="8" t="s">
        <v>18</v>
      </c>
      <c r="C20" s="50" t="s">
        <v>21</v>
      </c>
      <c r="D20" s="51" t="s">
        <v>25</v>
      </c>
      <c r="E20" s="44" t="s">
        <v>66</v>
      </c>
      <c r="F20" s="66">
        <v>2.2200000000000002</v>
      </c>
      <c r="G20" s="9">
        <f>62.4*35/30</f>
        <v>72.8</v>
      </c>
      <c r="H20" s="9">
        <f>2.4*35/30</f>
        <v>2.8</v>
      </c>
      <c r="I20" s="9">
        <f>0.45*35/30</f>
        <v>0.52500000000000002</v>
      </c>
      <c r="J20" s="10">
        <f>11.37*35/30</f>
        <v>13.264999999999999</v>
      </c>
    </row>
    <row r="21" spans="1:10" ht="15.75">
      <c r="A21" s="7"/>
      <c r="B21" s="14" t="s">
        <v>16</v>
      </c>
      <c r="C21" s="52" t="s">
        <v>21</v>
      </c>
      <c r="D21" s="53" t="s">
        <v>22</v>
      </c>
      <c r="E21" s="45" t="s">
        <v>67</v>
      </c>
      <c r="F21" s="72">
        <f>44*0.033</f>
        <v>1.452</v>
      </c>
      <c r="G21" s="11">
        <f>60*35/30</f>
        <v>70</v>
      </c>
      <c r="H21" s="11">
        <f>1.47*35/30</f>
        <v>1.7149999999999999</v>
      </c>
      <c r="I21" s="11">
        <f>0.3*35/30</f>
        <v>0.35</v>
      </c>
      <c r="J21" s="12">
        <f>13.44*35/30</f>
        <v>15.68</v>
      </c>
    </row>
    <row r="22" spans="1:10" ht="16.5" thickBot="1">
      <c r="A22" s="37"/>
      <c r="B22" s="38"/>
      <c r="C22" s="39"/>
      <c r="D22" s="39"/>
      <c r="E22" s="47"/>
      <c r="F22" s="73">
        <f>SUM(F15:F21)</f>
        <v>75.722594248094239</v>
      </c>
      <c r="G22" s="40">
        <f>SUM(G15:G21)</f>
        <v>872.44999999999993</v>
      </c>
      <c r="H22" s="40">
        <f>SUM(H15:H21)</f>
        <v>25.335000000000001</v>
      </c>
      <c r="I22" s="40">
        <f>SUM(I15:I21)</f>
        <v>29.314999999999998</v>
      </c>
      <c r="J22" s="41">
        <f>SUM(J15:J21)</f>
        <v>126.14500000000001</v>
      </c>
    </row>
    <row r="23" spans="1:10" ht="16.5" thickBot="1">
      <c r="B23" s="2" t="s">
        <v>28</v>
      </c>
      <c r="E23" s="46"/>
      <c r="F23" s="46"/>
    </row>
    <row r="24" spans="1:10" ht="30.75" thickBot="1">
      <c r="A24" s="17" t="s">
        <v>1</v>
      </c>
      <c r="B24" s="18" t="s">
        <v>2</v>
      </c>
      <c r="C24" s="18" t="s">
        <v>19</v>
      </c>
      <c r="D24" s="18" t="s">
        <v>3</v>
      </c>
      <c r="E24" s="42" t="s">
        <v>20</v>
      </c>
      <c r="F24" s="42" t="s">
        <v>4</v>
      </c>
      <c r="G24" s="19" t="s">
        <v>5</v>
      </c>
      <c r="H24" s="18" t="s">
        <v>6</v>
      </c>
      <c r="I24" s="18" t="s">
        <v>7</v>
      </c>
      <c r="J24" s="20" t="s">
        <v>8</v>
      </c>
    </row>
    <row r="25" spans="1:10" ht="15.75">
      <c r="A25" s="3" t="s">
        <v>9</v>
      </c>
      <c r="B25" s="4" t="s">
        <v>10</v>
      </c>
      <c r="C25" s="95">
        <v>46</v>
      </c>
      <c r="D25" s="96" t="s">
        <v>46</v>
      </c>
      <c r="E25" s="97" t="s">
        <v>34</v>
      </c>
      <c r="F25" s="98">
        <v>14.28</v>
      </c>
      <c r="G25" s="86">
        <v>193.84</v>
      </c>
      <c r="H25" s="86">
        <v>5.21</v>
      </c>
      <c r="I25" s="86">
        <v>7.16</v>
      </c>
      <c r="J25" s="87">
        <v>27.84</v>
      </c>
    </row>
    <row r="26" spans="1:10" ht="15.75">
      <c r="A26" s="7"/>
      <c r="B26" s="84" t="s">
        <v>11</v>
      </c>
      <c r="C26" s="99">
        <v>36</v>
      </c>
      <c r="D26" s="100" t="s">
        <v>61</v>
      </c>
      <c r="E26" s="101" t="s">
        <v>34</v>
      </c>
      <c r="F26" s="102">
        <v>12.32</v>
      </c>
      <c r="G26" s="9">
        <v>117</v>
      </c>
      <c r="H26" s="9">
        <v>4.45</v>
      </c>
      <c r="I26" s="9">
        <v>3.6</v>
      </c>
      <c r="J26" s="10">
        <v>16.149999999999999</v>
      </c>
    </row>
    <row r="27" spans="1:10" ht="15.75">
      <c r="A27" s="7"/>
      <c r="B27" s="80" t="s">
        <v>33</v>
      </c>
      <c r="C27" s="103">
        <v>6</v>
      </c>
      <c r="D27" s="104" t="s">
        <v>36</v>
      </c>
      <c r="E27" s="105">
        <v>22</v>
      </c>
      <c r="F27" s="92">
        <f>10.6*22/15</f>
        <v>15.546666666666665</v>
      </c>
      <c r="G27" s="9">
        <f>36*27/12</f>
        <v>81</v>
      </c>
      <c r="H27" s="9">
        <f>1.36*27/12</f>
        <v>3.0600000000000005</v>
      </c>
      <c r="I27" s="9">
        <f>2.76*27/12</f>
        <v>6.21</v>
      </c>
      <c r="J27" s="10">
        <f>0.31*27/12</f>
        <v>0.6974999999999999</v>
      </c>
    </row>
    <row r="28" spans="1:10" ht="15.75">
      <c r="A28" s="7"/>
      <c r="B28" s="82"/>
      <c r="C28" s="103">
        <v>3</v>
      </c>
      <c r="D28" s="104" t="s">
        <v>32</v>
      </c>
      <c r="E28" s="105">
        <v>11</v>
      </c>
      <c r="F28" s="92">
        <f>9*11/10</f>
        <v>9.9</v>
      </c>
      <c r="G28" s="9">
        <f>64.7*10/10</f>
        <v>64.7</v>
      </c>
      <c r="H28" s="9">
        <f>0.08*10/10</f>
        <v>0.08</v>
      </c>
      <c r="I28" s="9">
        <f>7.15*10/10</f>
        <v>7.15</v>
      </c>
      <c r="J28" s="10">
        <f>0.12*10/10</f>
        <v>0.12</v>
      </c>
    </row>
    <row r="29" spans="1:10" ht="15.75">
      <c r="A29" s="7"/>
      <c r="B29" s="81"/>
      <c r="C29" s="106">
        <v>38</v>
      </c>
      <c r="D29" s="104" t="s">
        <v>47</v>
      </c>
      <c r="E29" s="105">
        <v>19</v>
      </c>
      <c r="F29" s="92">
        <f>114.6*0.019</f>
        <v>2.1774</v>
      </c>
      <c r="G29" s="9">
        <f>144.74</f>
        <v>144.74</v>
      </c>
      <c r="H29" s="9">
        <f>3.53</f>
        <v>3.53</v>
      </c>
      <c r="I29" s="9">
        <f>9.88</f>
        <v>9.8800000000000008</v>
      </c>
      <c r="J29" s="10">
        <f>3.53</f>
        <v>3.53</v>
      </c>
    </row>
    <row r="30" spans="1:10" ht="15.75">
      <c r="A30" s="7"/>
      <c r="B30" s="30" t="s">
        <v>17</v>
      </c>
      <c r="C30" s="103" t="s">
        <v>21</v>
      </c>
      <c r="D30" s="104" t="s">
        <v>22</v>
      </c>
      <c r="E30" s="105">
        <v>35</v>
      </c>
      <c r="F30" s="92">
        <v>1.53</v>
      </c>
      <c r="G30" s="9">
        <f>40*38/20</f>
        <v>76</v>
      </c>
      <c r="H30" s="9">
        <f>0.98*38/20</f>
        <v>1.8620000000000001</v>
      </c>
      <c r="I30" s="9">
        <f>0.2*38/20</f>
        <v>0.38</v>
      </c>
      <c r="J30" s="10">
        <f>8.95*38/20</f>
        <v>17.004999999999999</v>
      </c>
    </row>
    <row r="31" spans="1:10" ht="15.75">
      <c r="A31" s="7"/>
      <c r="B31" s="54"/>
      <c r="C31" s="103" t="s">
        <v>21</v>
      </c>
      <c r="D31" s="104" t="s">
        <v>37</v>
      </c>
      <c r="E31" s="105">
        <v>35</v>
      </c>
      <c r="F31" s="92">
        <f>83.75*0.035</f>
        <v>2.9312500000000004</v>
      </c>
      <c r="G31" s="9">
        <f>41.6*39/20</f>
        <v>81.12</v>
      </c>
      <c r="H31" s="9">
        <f>1.6*39/20</f>
        <v>3.12</v>
      </c>
      <c r="I31" s="9">
        <f>0.03*39/20</f>
        <v>5.8499999999999996E-2</v>
      </c>
      <c r="J31" s="10">
        <f>8.02*39/20</f>
        <v>15.638999999999999</v>
      </c>
    </row>
    <row r="32" spans="1:10" ht="16.5" thickBot="1">
      <c r="A32" s="59"/>
      <c r="B32" s="60"/>
      <c r="C32" s="61"/>
      <c r="D32" s="62"/>
      <c r="E32" s="63"/>
      <c r="F32" s="70">
        <f>SUM(F25:F31)</f>
        <v>58.685316666666665</v>
      </c>
      <c r="G32" s="64">
        <f>SUM(G25:G31)</f>
        <v>758.4</v>
      </c>
      <c r="H32" s="64">
        <f>SUM(H25:H31)</f>
        <v>21.312000000000001</v>
      </c>
      <c r="I32" s="64">
        <f>SUM(I25:I31)</f>
        <v>34.438500000000005</v>
      </c>
      <c r="J32" s="85">
        <f>SUM(J25:J31)</f>
        <v>80.981499999999983</v>
      </c>
    </row>
    <row r="33" spans="1:13" ht="15.75">
      <c r="A33" s="3" t="s">
        <v>23</v>
      </c>
      <c r="B33" s="4"/>
      <c r="C33" s="107">
        <v>63</v>
      </c>
      <c r="D33" s="108" t="s">
        <v>65</v>
      </c>
      <c r="E33" s="109">
        <v>200</v>
      </c>
      <c r="F33" s="98">
        <v>23.56</v>
      </c>
      <c r="G33" s="5">
        <v>106</v>
      </c>
      <c r="H33" s="5">
        <v>5.8</v>
      </c>
      <c r="I33" s="5">
        <v>5</v>
      </c>
      <c r="J33" s="6">
        <v>8</v>
      </c>
    </row>
    <row r="34" spans="1:13" ht="15.75">
      <c r="A34" s="7"/>
      <c r="B34" s="83"/>
      <c r="C34" s="110">
        <v>62</v>
      </c>
      <c r="D34" s="111" t="s">
        <v>48</v>
      </c>
      <c r="E34" s="112">
        <v>100</v>
      </c>
      <c r="F34" s="102">
        <v>20.45</v>
      </c>
      <c r="G34" s="13">
        <v>144</v>
      </c>
      <c r="H34" s="13">
        <v>2.25</v>
      </c>
      <c r="I34" s="13">
        <v>0.75</v>
      </c>
      <c r="J34" s="36">
        <v>31.5</v>
      </c>
    </row>
    <row r="35" spans="1:13" ht="16.5" thickBot="1">
      <c r="A35" s="55"/>
      <c r="B35" s="38"/>
      <c r="C35" s="56"/>
      <c r="D35" s="57"/>
      <c r="E35" s="58"/>
      <c r="F35" s="71">
        <f>SUM(F33:F34)</f>
        <v>44.01</v>
      </c>
      <c r="G35" s="67">
        <f>SUM(G33:G34)</f>
        <v>250</v>
      </c>
      <c r="H35" s="67">
        <f>SUM(H33:H34)</f>
        <v>8.0500000000000007</v>
      </c>
      <c r="I35" s="67">
        <f>SUM(I33:I34)</f>
        <v>5.75</v>
      </c>
      <c r="J35" s="68">
        <f>SUM(J33:J34)</f>
        <v>39.5</v>
      </c>
    </row>
    <row r="36" spans="1:13" ht="15.75">
      <c r="A36" s="3" t="s">
        <v>12</v>
      </c>
      <c r="B36" s="4" t="s">
        <v>13</v>
      </c>
      <c r="C36" s="48">
        <v>59</v>
      </c>
      <c r="D36" s="49" t="s">
        <v>68</v>
      </c>
      <c r="E36" s="43" t="s">
        <v>69</v>
      </c>
      <c r="F36" s="69">
        <f>9.66*65/100</f>
        <v>6.2789999999999999</v>
      </c>
      <c r="G36" s="5">
        <f>75*100/60</f>
        <v>125</v>
      </c>
      <c r="H36" s="5">
        <f>1.26*100/60</f>
        <v>2.1</v>
      </c>
      <c r="I36" s="5">
        <f>4.08*100/60</f>
        <v>6.8</v>
      </c>
      <c r="J36" s="6">
        <f>8.28*100/60</f>
        <v>13.799999999999999</v>
      </c>
    </row>
    <row r="37" spans="1:13" ht="31.5">
      <c r="A37" s="7"/>
      <c r="B37" s="8" t="s">
        <v>14</v>
      </c>
      <c r="C37" s="50">
        <v>55</v>
      </c>
      <c r="D37" s="51" t="s">
        <v>45</v>
      </c>
      <c r="E37" s="88" t="s">
        <v>56</v>
      </c>
      <c r="F37" s="66">
        <f>5.1*190/185+5.87*55/65+5.24*0.5</f>
        <v>12.824760914760915</v>
      </c>
      <c r="G37" s="9">
        <v>193.5</v>
      </c>
      <c r="H37" s="9">
        <v>5.23</v>
      </c>
      <c r="I37" s="9">
        <v>6.28</v>
      </c>
      <c r="J37" s="10">
        <v>29</v>
      </c>
      <c r="M37" s="1" t="s">
        <v>35</v>
      </c>
    </row>
    <row r="38" spans="1:13" ht="15.75">
      <c r="A38" s="7"/>
      <c r="B38" s="8" t="s">
        <v>15</v>
      </c>
      <c r="C38" s="50">
        <v>12</v>
      </c>
      <c r="D38" s="51" t="s">
        <v>42</v>
      </c>
      <c r="E38" s="44" t="s">
        <v>49</v>
      </c>
      <c r="F38" s="66">
        <f>32.56*110/100</f>
        <v>35.816000000000003</v>
      </c>
      <c r="G38" s="9">
        <f>200.65*110/90</f>
        <v>245.23888888888888</v>
      </c>
      <c r="H38" s="9">
        <f>10.73*110/90</f>
        <v>13.114444444444445</v>
      </c>
      <c r="I38" s="9">
        <f>12.68*110/90</f>
        <v>15.497777777777777</v>
      </c>
      <c r="J38" s="10">
        <f>11.02*110/90</f>
        <v>13.468888888888889</v>
      </c>
    </row>
    <row r="39" spans="1:13" ht="15.75">
      <c r="A39" s="7"/>
      <c r="B39" s="8" t="s">
        <v>40</v>
      </c>
      <c r="C39" s="50">
        <v>71</v>
      </c>
      <c r="D39" s="51" t="s">
        <v>43</v>
      </c>
      <c r="E39" s="44" t="s">
        <v>57</v>
      </c>
      <c r="F39" s="66">
        <f>17.53*180/180</f>
        <v>17.53</v>
      </c>
      <c r="G39" s="9">
        <v>149.4</v>
      </c>
      <c r="H39" s="9">
        <v>3.6</v>
      </c>
      <c r="I39" s="9">
        <v>6.48</v>
      </c>
      <c r="J39" s="10">
        <v>19.079999999999998</v>
      </c>
    </row>
    <row r="40" spans="1:13" ht="15.75">
      <c r="A40" s="7"/>
      <c r="B40" s="8" t="s">
        <v>24</v>
      </c>
      <c r="C40" s="50">
        <v>25</v>
      </c>
      <c r="D40" s="51" t="s">
        <v>44</v>
      </c>
      <c r="E40" s="44">
        <v>200</v>
      </c>
      <c r="F40" s="66">
        <v>11.66</v>
      </c>
      <c r="G40" s="9">
        <v>136</v>
      </c>
      <c r="H40" s="9">
        <v>0.6</v>
      </c>
      <c r="I40" s="9">
        <v>0</v>
      </c>
      <c r="J40" s="10">
        <v>33</v>
      </c>
    </row>
    <row r="41" spans="1:13" ht="15.75">
      <c r="A41" s="7"/>
      <c r="B41" s="8" t="s">
        <v>18</v>
      </c>
      <c r="C41" s="50" t="s">
        <v>21</v>
      </c>
      <c r="D41" s="51" t="s">
        <v>25</v>
      </c>
      <c r="E41" s="44" t="s">
        <v>60</v>
      </c>
      <c r="F41" s="66">
        <f>64.8*0.036</f>
        <v>2.3327999999999998</v>
      </c>
      <c r="G41" s="9">
        <f>62.4*40/30</f>
        <v>83.2</v>
      </c>
      <c r="H41" s="9">
        <f>2.4*40/30</f>
        <v>3.2</v>
      </c>
      <c r="I41" s="9">
        <f>0.45*40/30</f>
        <v>0.6</v>
      </c>
      <c r="J41" s="10">
        <f>11.37*40/30</f>
        <v>15.159999999999998</v>
      </c>
    </row>
    <row r="42" spans="1:13" ht="15.75">
      <c r="A42" s="7"/>
      <c r="B42" s="14" t="s">
        <v>16</v>
      </c>
      <c r="C42" s="52" t="s">
        <v>21</v>
      </c>
      <c r="D42" s="53" t="s">
        <v>22</v>
      </c>
      <c r="E42" s="45" t="s">
        <v>60</v>
      </c>
      <c r="F42" s="72">
        <v>1.58</v>
      </c>
      <c r="G42" s="11">
        <f>60*39/30</f>
        <v>78</v>
      </c>
      <c r="H42" s="11">
        <f>1.47*39/30</f>
        <v>1.911</v>
      </c>
      <c r="I42" s="11">
        <f>0.3*39/30</f>
        <v>0.38999999999999996</v>
      </c>
      <c r="J42" s="12">
        <f>13.44*39/30</f>
        <v>17.471999999999998</v>
      </c>
    </row>
    <row r="43" spans="1:13" ht="16.5" thickBot="1">
      <c r="A43" s="7"/>
      <c r="B43" s="38"/>
      <c r="C43" s="39"/>
      <c r="D43" s="39"/>
      <c r="E43" s="47"/>
      <c r="F43" s="73">
        <f>SUM(F36:F42)</f>
        <v>88.022560914760916</v>
      </c>
      <c r="G43" s="40">
        <f>SUM(G36:G42)</f>
        <v>1010.3388888888888</v>
      </c>
      <c r="H43" s="40">
        <f>SUM(H36:H42)</f>
        <v>29.755444444444446</v>
      </c>
      <c r="I43" s="40">
        <f>SUM(I36:I42)</f>
        <v>36.047777777777775</v>
      </c>
      <c r="J43" s="41">
        <f>SUM(J36:J42)</f>
        <v>140.9808888888889</v>
      </c>
    </row>
    <row r="44" spans="1:13">
      <c r="A44" s="22" t="s">
        <v>30</v>
      </c>
    </row>
    <row r="45" spans="1:13">
      <c r="A45" s="22" t="s">
        <v>38</v>
      </c>
    </row>
  </sheetData>
  <mergeCells count="2">
    <mergeCell ref="B1:D1"/>
    <mergeCell ref="I1:J1"/>
  </mergeCells>
  <pageMargins left="0.23622047244094491" right="0.23622047244094491" top="0.15748031496062992" bottom="0.15748031496062992" header="0.11811023622047245" footer="0.11811023622047245"/>
  <pageSetup paperSize="9" scale="60" orientation="landscape" r:id="rId1"/>
  <ignoredErrors>
    <ignoredError sqref="F14 F35 F11 F3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zoomScaleNormal="100" workbookViewId="0">
      <selection activeCell="D11" sqref="D11"/>
    </sheetView>
  </sheetViews>
  <sheetFormatPr defaultColWidth="8.85546875" defaultRowHeight="15"/>
  <cols>
    <col min="1" max="1" width="11.7109375" style="23" bestFit="1" customWidth="1"/>
    <col min="2" max="2" width="11.5703125" style="23" customWidth="1"/>
    <col min="3" max="3" width="7.28515625" style="23" bestFit="1" customWidth="1"/>
    <col min="4" max="4" width="24.7109375" style="23" bestFit="1" customWidth="1"/>
    <col min="5" max="5" width="8.28515625" style="24" bestFit="1" customWidth="1"/>
    <col min="6" max="6" width="7.28515625" style="24" bestFit="1" customWidth="1"/>
    <col min="7" max="7" width="7.7109375" style="23" customWidth="1"/>
    <col min="8" max="8" width="6.85546875" style="23" bestFit="1" customWidth="1"/>
    <col min="9" max="9" width="6.5703125" style="23" customWidth="1"/>
    <col min="10" max="10" width="8.5703125" style="23" customWidth="1"/>
    <col min="11" max="16384" width="8.85546875" style="23"/>
  </cols>
  <sheetData>
    <row r="1" spans="1:10" ht="28.9" customHeight="1">
      <c r="A1" s="23" t="s">
        <v>0</v>
      </c>
      <c r="B1" s="116" t="s">
        <v>58</v>
      </c>
      <c r="C1" s="117"/>
      <c r="D1" s="118"/>
      <c r="E1" s="24" t="s">
        <v>27</v>
      </c>
      <c r="F1" s="25"/>
      <c r="H1" s="23">
        <v>12</v>
      </c>
      <c r="I1" s="120">
        <v>44664</v>
      </c>
      <c r="J1" s="120"/>
    </row>
    <row r="2" spans="1:10" ht="15.75" thickBot="1">
      <c r="B2" s="26" t="s">
        <v>31</v>
      </c>
    </row>
    <row r="3" spans="1:10" s="27" customFormat="1" ht="30.75" thickBot="1">
      <c r="A3" s="74" t="s">
        <v>1</v>
      </c>
      <c r="B3" s="75" t="s">
        <v>2</v>
      </c>
      <c r="C3" s="75" t="s">
        <v>19</v>
      </c>
      <c r="D3" s="75" t="s">
        <v>3</v>
      </c>
      <c r="E3" s="76" t="s">
        <v>20</v>
      </c>
      <c r="F3" s="76" t="s">
        <v>4</v>
      </c>
      <c r="G3" s="77" t="s">
        <v>5</v>
      </c>
      <c r="H3" s="75" t="s">
        <v>6</v>
      </c>
      <c r="I3" s="75" t="s">
        <v>7</v>
      </c>
      <c r="J3" s="78" t="s">
        <v>8</v>
      </c>
    </row>
    <row r="4" spans="1:10" s="27" customFormat="1" ht="15.75">
      <c r="A4" s="3" t="s">
        <v>9</v>
      </c>
      <c r="B4" s="4" t="s">
        <v>10</v>
      </c>
      <c r="C4" s="95">
        <v>46</v>
      </c>
      <c r="D4" s="96" t="s">
        <v>46</v>
      </c>
      <c r="E4" s="97" t="s">
        <v>34</v>
      </c>
      <c r="F4" s="98">
        <v>19.98</v>
      </c>
      <c r="G4" s="86">
        <v>193.84</v>
      </c>
      <c r="H4" s="86">
        <v>5.21</v>
      </c>
      <c r="I4" s="86">
        <v>7.16</v>
      </c>
      <c r="J4" s="87">
        <v>27.84</v>
      </c>
    </row>
    <row r="5" spans="1:10" ht="31.9" customHeight="1">
      <c r="A5" s="7"/>
      <c r="B5" s="84" t="s">
        <v>11</v>
      </c>
      <c r="C5" s="99">
        <v>36</v>
      </c>
      <c r="D5" s="100" t="s">
        <v>61</v>
      </c>
      <c r="E5" s="101" t="s">
        <v>34</v>
      </c>
      <c r="F5" s="102">
        <v>17.16</v>
      </c>
      <c r="G5" s="9">
        <v>117</v>
      </c>
      <c r="H5" s="9">
        <v>4.45</v>
      </c>
      <c r="I5" s="9">
        <v>3.6</v>
      </c>
      <c r="J5" s="10">
        <v>16.149999999999999</v>
      </c>
    </row>
    <row r="6" spans="1:10" ht="15.75">
      <c r="A6" s="7"/>
      <c r="B6" s="80" t="s">
        <v>33</v>
      </c>
      <c r="C6" s="103">
        <v>6</v>
      </c>
      <c r="D6" s="104" t="s">
        <v>36</v>
      </c>
      <c r="E6" s="105">
        <v>12</v>
      </c>
      <c r="F6" s="92">
        <f>12.06*12/12</f>
        <v>12.06</v>
      </c>
      <c r="G6" s="9">
        <f>36*16/12</f>
        <v>48</v>
      </c>
      <c r="H6" s="9">
        <f>1.36*16/12</f>
        <v>1.8133333333333335</v>
      </c>
      <c r="I6" s="9">
        <f>2.76*16/12</f>
        <v>3.6799999999999997</v>
      </c>
      <c r="J6" s="10">
        <f>0.31*16/12</f>
        <v>0.41333333333333333</v>
      </c>
    </row>
    <row r="7" spans="1:10" ht="15.75">
      <c r="A7" s="7"/>
      <c r="B7" s="82"/>
      <c r="C7" s="103">
        <v>3</v>
      </c>
      <c r="D7" s="104" t="s">
        <v>32</v>
      </c>
      <c r="E7" s="105">
        <v>10</v>
      </c>
      <c r="F7" s="92">
        <f>12.6</f>
        <v>12.6</v>
      </c>
      <c r="G7" s="9">
        <f>64.7*10/10</f>
        <v>64.7</v>
      </c>
      <c r="H7" s="9">
        <f>0.08*10/10</f>
        <v>0.08</v>
      </c>
      <c r="I7" s="9">
        <f>7.15*10/10</f>
        <v>7.15</v>
      </c>
      <c r="J7" s="10">
        <f>0.12*10/10</f>
        <v>0.12</v>
      </c>
    </row>
    <row r="8" spans="1:10" ht="15.75">
      <c r="A8" s="7"/>
      <c r="B8" s="81"/>
      <c r="C8" s="106">
        <v>38</v>
      </c>
      <c r="D8" s="104" t="s">
        <v>47</v>
      </c>
      <c r="E8" s="105">
        <v>19</v>
      </c>
      <c r="F8" s="92">
        <f>114.6*0.019*1.4</f>
        <v>3.0483599999999997</v>
      </c>
      <c r="G8" s="9">
        <f>144.74</f>
        <v>144.74</v>
      </c>
      <c r="H8" s="9">
        <f>3.53</f>
        <v>3.53</v>
      </c>
      <c r="I8" s="9">
        <f>9.88</f>
        <v>9.8800000000000008</v>
      </c>
      <c r="J8" s="10">
        <f>3.53</f>
        <v>3.53</v>
      </c>
    </row>
    <row r="9" spans="1:10" ht="15.75">
      <c r="A9" s="7"/>
      <c r="B9" s="30" t="s">
        <v>17</v>
      </c>
      <c r="C9" s="103" t="s">
        <v>21</v>
      </c>
      <c r="D9" s="104" t="s">
        <v>22</v>
      </c>
      <c r="E9" s="105">
        <v>36</v>
      </c>
      <c r="F9" s="92">
        <f>48.86*0.036</f>
        <v>1.7589599999999999</v>
      </c>
      <c r="G9" s="9">
        <f>40*30/20</f>
        <v>60</v>
      </c>
      <c r="H9" s="9">
        <f>0.98*30/20</f>
        <v>1.47</v>
      </c>
      <c r="I9" s="9">
        <f>0.2*30/20</f>
        <v>0.3</v>
      </c>
      <c r="J9" s="10">
        <f>8.95*30/20</f>
        <v>13.425000000000001</v>
      </c>
    </row>
    <row r="10" spans="1:10" ht="15.75">
      <c r="A10" s="7"/>
      <c r="B10" s="54"/>
      <c r="C10" s="103" t="s">
        <v>21</v>
      </c>
      <c r="D10" s="104" t="s">
        <v>37</v>
      </c>
      <c r="E10" s="105">
        <v>37</v>
      </c>
      <c r="F10" s="92">
        <v>3.39</v>
      </c>
      <c r="G10" s="9">
        <f>41.6*31/20</f>
        <v>64.48</v>
      </c>
      <c r="H10" s="9">
        <f>1.6*31/20</f>
        <v>2.48</v>
      </c>
      <c r="I10" s="9">
        <f>0.03*31/20</f>
        <v>4.65E-2</v>
      </c>
      <c r="J10" s="10">
        <f>8.02*31/20</f>
        <v>12.430999999999999</v>
      </c>
    </row>
    <row r="11" spans="1:10" ht="16.5" thickBot="1">
      <c r="A11" s="59"/>
      <c r="B11" s="60"/>
      <c r="C11" s="61"/>
      <c r="D11" s="62"/>
      <c r="E11" s="63"/>
      <c r="F11" s="70">
        <f>SUM(F4:F10)</f>
        <v>69.997320000000002</v>
      </c>
      <c r="G11" s="64">
        <f>SUM(G4:G10)</f>
        <v>692.76</v>
      </c>
      <c r="H11" s="64">
        <f>SUM(H4:H10)</f>
        <v>19.033333333333331</v>
      </c>
      <c r="I11" s="64">
        <f>SUM(I4:I10)</f>
        <v>31.816500000000001</v>
      </c>
      <c r="J11" s="85">
        <f>SUM(J4:J10)</f>
        <v>73.909333333333322</v>
      </c>
    </row>
    <row r="12" spans="1:10" ht="15.75">
      <c r="A12" s="29"/>
      <c r="B12" s="8" t="s">
        <v>15</v>
      </c>
      <c r="C12" s="50">
        <v>12</v>
      </c>
      <c r="D12" s="51" t="s">
        <v>42</v>
      </c>
      <c r="E12" s="44" t="s">
        <v>39</v>
      </c>
      <c r="F12" s="66">
        <f>40.88*90/90</f>
        <v>40.880000000000003</v>
      </c>
      <c r="G12" s="9">
        <v>200.65</v>
      </c>
      <c r="H12" s="9">
        <v>10.73</v>
      </c>
      <c r="I12" s="9">
        <v>12.68</v>
      </c>
      <c r="J12" s="10">
        <v>11.02</v>
      </c>
    </row>
    <row r="13" spans="1:10" ht="15.75">
      <c r="A13" s="29"/>
      <c r="B13" s="8" t="s">
        <v>40</v>
      </c>
      <c r="C13" s="89">
        <v>65</v>
      </c>
      <c r="D13" s="90" t="s">
        <v>59</v>
      </c>
      <c r="E13" s="91" t="s">
        <v>51</v>
      </c>
      <c r="F13" s="92">
        <f>29.9*150/180</f>
        <v>24.916666666666668</v>
      </c>
      <c r="G13" s="93">
        <v>300.94</v>
      </c>
      <c r="H13" s="93">
        <v>6.28</v>
      </c>
      <c r="I13" s="93">
        <v>9.94</v>
      </c>
      <c r="J13" s="94">
        <v>46.69</v>
      </c>
    </row>
    <row r="14" spans="1:10" ht="16.149999999999999" customHeight="1">
      <c r="A14" s="29"/>
      <c r="B14" s="8" t="s">
        <v>41</v>
      </c>
      <c r="C14" s="50">
        <v>15</v>
      </c>
      <c r="D14" s="51" t="s">
        <v>50</v>
      </c>
      <c r="E14" s="44" t="s">
        <v>62</v>
      </c>
      <c r="F14" s="66">
        <f>3.09*25/25</f>
        <v>3.09</v>
      </c>
      <c r="G14" s="9">
        <f>21.25*35/25</f>
        <v>29.75</v>
      </c>
      <c r="H14" s="9">
        <f>0.45*35/25</f>
        <v>0.63</v>
      </c>
      <c r="I14" s="9">
        <f>1.31*35/25</f>
        <v>1.8340000000000001</v>
      </c>
      <c r="J14" s="10">
        <f>1.92*35/25</f>
        <v>2.6880000000000002</v>
      </c>
    </row>
    <row r="15" spans="1:10" ht="15.75">
      <c r="A15" s="29"/>
      <c r="B15" s="8" t="s">
        <v>24</v>
      </c>
      <c r="C15" s="50">
        <v>17</v>
      </c>
      <c r="D15" s="51" t="s">
        <v>52</v>
      </c>
      <c r="E15" s="44">
        <v>200</v>
      </c>
      <c r="F15" s="66">
        <v>6.36</v>
      </c>
      <c r="G15" s="9">
        <v>136</v>
      </c>
      <c r="H15" s="9">
        <v>0.6</v>
      </c>
      <c r="I15" s="9">
        <v>0</v>
      </c>
      <c r="J15" s="10">
        <v>33</v>
      </c>
    </row>
    <row r="16" spans="1:10" ht="15.75">
      <c r="A16" s="29"/>
      <c r="B16" s="8" t="s">
        <v>18</v>
      </c>
      <c r="C16" s="50" t="s">
        <v>21</v>
      </c>
      <c r="D16" s="51" t="s">
        <v>25</v>
      </c>
      <c r="E16" s="44" t="s">
        <v>53</v>
      </c>
      <c r="F16" s="66">
        <f>72*0.039</f>
        <v>2.8079999999999998</v>
      </c>
      <c r="G16" s="9">
        <f>62.4*36/30</f>
        <v>74.88000000000001</v>
      </c>
      <c r="H16" s="9">
        <f>2.4*36/30</f>
        <v>2.88</v>
      </c>
      <c r="I16" s="9">
        <f>0.45*36/30</f>
        <v>0.53999999999999992</v>
      </c>
      <c r="J16" s="10">
        <f>11.37*36/30</f>
        <v>13.644</v>
      </c>
    </row>
    <row r="17" spans="1:10" ht="15.75">
      <c r="A17" s="29"/>
      <c r="B17" s="14" t="s">
        <v>16</v>
      </c>
      <c r="C17" s="52" t="s">
        <v>21</v>
      </c>
      <c r="D17" s="53" t="s">
        <v>22</v>
      </c>
      <c r="E17" s="45" t="s">
        <v>53</v>
      </c>
      <c r="F17" s="72">
        <v>1.95</v>
      </c>
      <c r="G17" s="11">
        <f>60*36/30</f>
        <v>72</v>
      </c>
      <c r="H17" s="11">
        <f>1.47*36/30</f>
        <v>1.764</v>
      </c>
      <c r="I17" s="11">
        <f>0.3*36/30</f>
        <v>0.36</v>
      </c>
      <c r="J17" s="12">
        <f>13.44*36/30</f>
        <v>16.128</v>
      </c>
    </row>
    <row r="18" spans="1:10" ht="16.5" thickBot="1">
      <c r="A18" s="31"/>
      <c r="B18" s="32"/>
      <c r="C18" s="33"/>
      <c r="D18" s="33"/>
      <c r="E18" s="65"/>
      <c r="F18" s="79">
        <f>SUM(F12:F17)</f>
        <v>80.004666666666665</v>
      </c>
      <c r="G18" s="34">
        <f>SUM(G12:G17)</f>
        <v>814.22</v>
      </c>
      <c r="H18" s="34">
        <f>SUM(H12:H17)</f>
        <v>22.884</v>
      </c>
      <c r="I18" s="34">
        <f>SUM(I12:I17)</f>
        <v>25.353999999999996</v>
      </c>
      <c r="J18" s="35">
        <f>SUM(J12:J17)</f>
        <v>123.17</v>
      </c>
    </row>
    <row r="19" spans="1:10" ht="31.5">
      <c r="A19" s="28"/>
      <c r="B19" s="8" t="s">
        <v>14</v>
      </c>
      <c r="C19" s="50">
        <v>55</v>
      </c>
      <c r="D19" s="51" t="s">
        <v>45</v>
      </c>
      <c r="E19" s="88" t="s">
        <v>63</v>
      </c>
      <c r="F19" s="66">
        <f>7.05*190/185+8.22*55/65+5.24*1</f>
        <v>19.435925155925155</v>
      </c>
      <c r="G19" s="9">
        <v>193.5</v>
      </c>
      <c r="H19" s="9">
        <v>5.23</v>
      </c>
      <c r="I19" s="9">
        <v>6.28</v>
      </c>
      <c r="J19" s="10">
        <v>29</v>
      </c>
    </row>
    <row r="20" spans="1:10" ht="15.75">
      <c r="A20" s="29"/>
      <c r="B20" s="8" t="s">
        <v>15</v>
      </c>
      <c r="C20" s="50">
        <v>12</v>
      </c>
      <c r="D20" s="51" t="s">
        <v>42</v>
      </c>
      <c r="E20" s="44" t="s">
        <v>39</v>
      </c>
      <c r="F20" s="66">
        <v>40.880000000000003</v>
      </c>
      <c r="G20" s="9">
        <v>200.65</v>
      </c>
      <c r="H20" s="9">
        <v>10.73</v>
      </c>
      <c r="I20" s="9">
        <v>12.68</v>
      </c>
      <c r="J20" s="10">
        <v>11.02</v>
      </c>
    </row>
    <row r="21" spans="1:10" ht="15.75">
      <c r="A21" s="29"/>
      <c r="B21" s="8" t="s">
        <v>40</v>
      </c>
      <c r="C21" s="89">
        <v>65</v>
      </c>
      <c r="D21" s="90" t="s">
        <v>59</v>
      </c>
      <c r="E21" s="91" t="s">
        <v>64</v>
      </c>
      <c r="F21" s="92">
        <f>29.9*130/180</f>
        <v>21.594444444444445</v>
      </c>
      <c r="G21" s="93">
        <v>300.94</v>
      </c>
      <c r="H21" s="93">
        <v>6.28</v>
      </c>
      <c r="I21" s="93">
        <v>9.94</v>
      </c>
      <c r="J21" s="94">
        <v>46.69</v>
      </c>
    </row>
    <row r="22" spans="1:10" ht="30">
      <c r="A22" s="29"/>
      <c r="B22" s="8" t="s">
        <v>41</v>
      </c>
      <c r="C22" s="50">
        <v>15</v>
      </c>
      <c r="D22" s="51" t="s">
        <v>50</v>
      </c>
      <c r="E22" s="44" t="s">
        <v>54</v>
      </c>
      <c r="F22" s="66">
        <f>3.09*20/25</f>
        <v>2.472</v>
      </c>
      <c r="G22" s="9">
        <f>21.25*25/25</f>
        <v>21.25</v>
      </c>
      <c r="H22" s="9">
        <f>0.45*25/25</f>
        <v>0.45</v>
      </c>
      <c r="I22" s="9">
        <f>1.31*25/25</f>
        <v>1.31</v>
      </c>
      <c r="J22" s="10">
        <f>1.92*25/25</f>
        <v>1.92</v>
      </c>
    </row>
    <row r="23" spans="1:10" ht="15.75">
      <c r="A23" s="29"/>
      <c r="B23" s="8" t="s">
        <v>24</v>
      </c>
      <c r="C23" s="50">
        <v>17</v>
      </c>
      <c r="D23" s="51" t="s">
        <v>52</v>
      </c>
      <c r="E23" s="44">
        <v>200</v>
      </c>
      <c r="F23" s="66">
        <v>6.36</v>
      </c>
      <c r="G23" s="9">
        <v>136</v>
      </c>
      <c r="H23" s="9">
        <v>0.6</v>
      </c>
      <c r="I23" s="9">
        <v>0</v>
      </c>
      <c r="J23" s="10">
        <v>33</v>
      </c>
    </row>
    <row r="24" spans="1:10" ht="15.75">
      <c r="A24" s="29"/>
      <c r="B24" s="8" t="s">
        <v>18</v>
      </c>
      <c r="C24" s="50" t="s">
        <v>21</v>
      </c>
      <c r="D24" s="51" t="s">
        <v>25</v>
      </c>
      <c r="E24" s="44" t="s">
        <v>60</v>
      </c>
      <c r="F24" s="66">
        <f>72*0.035</f>
        <v>2.5200000000000005</v>
      </c>
      <c r="G24" s="9">
        <f>62.4*37/30</f>
        <v>76.959999999999994</v>
      </c>
      <c r="H24" s="9">
        <f>2.4*37/30</f>
        <v>2.96</v>
      </c>
      <c r="I24" s="9">
        <f>0.45*37/30</f>
        <v>0.55500000000000005</v>
      </c>
      <c r="J24" s="10">
        <f>11.37*37/30</f>
        <v>14.023</v>
      </c>
    </row>
    <row r="25" spans="1:10" ht="15.75">
      <c r="A25" s="29"/>
      <c r="B25" s="14" t="s">
        <v>16</v>
      </c>
      <c r="C25" s="52" t="s">
        <v>21</v>
      </c>
      <c r="D25" s="53" t="s">
        <v>22</v>
      </c>
      <c r="E25" s="45" t="s">
        <v>55</v>
      </c>
      <c r="F25" s="72">
        <v>1.74</v>
      </c>
      <c r="G25" s="11">
        <f>60*36/30</f>
        <v>72</v>
      </c>
      <c r="H25" s="11">
        <f>1.47*36/30</f>
        <v>1.764</v>
      </c>
      <c r="I25" s="11">
        <f>0.3*36/30</f>
        <v>0.36</v>
      </c>
      <c r="J25" s="12">
        <f>13.44*36/30</f>
        <v>16.128</v>
      </c>
    </row>
    <row r="26" spans="1:10" ht="16.5" thickBot="1">
      <c r="A26" s="31"/>
      <c r="B26" s="32"/>
      <c r="C26" s="33"/>
      <c r="D26" s="33"/>
      <c r="E26" s="65"/>
      <c r="F26" s="79">
        <f>SUM(F19:F25)</f>
        <v>95.00236960036959</v>
      </c>
      <c r="G26" s="34">
        <f>SUM(G20:G25)</f>
        <v>807.80000000000007</v>
      </c>
      <c r="H26" s="34">
        <f>SUM(H20:H25)</f>
        <v>22.784000000000002</v>
      </c>
      <c r="I26" s="34">
        <f>SUM(I20:I25)</f>
        <v>24.844999999999995</v>
      </c>
      <c r="J26" s="35">
        <f>SUM(J20:J25)</f>
        <v>122.78099999999999</v>
      </c>
    </row>
    <row r="27" spans="1:10" s="1" customFormat="1">
      <c r="E27" s="16"/>
      <c r="F27" s="16"/>
    </row>
    <row r="28" spans="1:10" s="1" customFormat="1">
      <c r="E28" s="16"/>
      <c r="F28" s="16"/>
    </row>
    <row r="29" spans="1:10" s="1" customFormat="1">
      <c r="E29" s="16"/>
      <c r="F29" s="16"/>
    </row>
    <row r="30" spans="1:10" s="1" customFormat="1">
      <c r="E30" s="16"/>
      <c r="F30" s="16"/>
    </row>
    <row r="31" spans="1:10" s="1" customFormat="1">
      <c r="E31" s="16"/>
      <c r="F31" s="16"/>
    </row>
    <row r="36" spans="1:4">
      <c r="A36" s="22" t="s">
        <v>29</v>
      </c>
      <c r="B36" s="1"/>
      <c r="C36" s="1"/>
      <c r="D36" s="1"/>
    </row>
    <row r="37" spans="1:4">
      <c r="A37" s="1"/>
      <c r="B37" s="1"/>
      <c r="C37" s="1"/>
      <c r="D37" s="1"/>
    </row>
    <row r="38" spans="1:4">
      <c r="A38" s="22" t="s">
        <v>30</v>
      </c>
      <c r="B38" s="1"/>
      <c r="C38" s="1"/>
      <c r="D38" s="1"/>
    </row>
  </sheetData>
  <mergeCells count="2">
    <mergeCell ref="B1:D1"/>
    <mergeCell ref="I1:J1"/>
  </mergeCells>
  <pageMargins left="0.11811023622047245" right="0.11811023622047245" top="0.15748031496062992" bottom="0.15748031496062992" header="0.11811023622047245" footer="0.11811023622047245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бесплатно</vt:lpstr>
      <vt:lpstr>платно</vt:lpstr>
      <vt:lpstr>бесплатно!Область_печати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2022-04-13T01:13:50Z</cp:lastPrinted>
  <dcterms:created xsi:type="dcterms:W3CDTF">2015-06-05T18:19:34Z</dcterms:created>
  <dcterms:modified xsi:type="dcterms:W3CDTF">2022-04-13T01:14:20Z</dcterms:modified>
</cp:coreProperties>
</file>