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"/>
  <c r="F21"/>
  <c r="F19"/>
  <c r="F18"/>
  <c r="F17"/>
  <c r="F14"/>
  <c r="F11"/>
  <c r="F12"/>
  <c r="F6"/>
  <c r="F9"/>
  <c r="F4"/>
  <c r="F40" i="1"/>
  <c r="F42"/>
  <c r="F43"/>
  <c r="F41"/>
  <c r="F29"/>
  <c r="F32"/>
  <c r="F31"/>
  <c r="F27"/>
  <c r="F22"/>
  <c r="F23"/>
  <c r="F19"/>
  <c r="F20"/>
  <c r="F18"/>
  <c r="F6"/>
  <c r="F7"/>
  <c r="F9"/>
  <c r="F4"/>
  <c r="F8" i="2"/>
  <c r="F35" i="1"/>
  <c r="F37"/>
  <c r="F14"/>
  <c r="F12"/>
  <c r="F8"/>
  <c r="F23" i="2" l="1"/>
  <c r="J22"/>
  <c r="J21"/>
  <c r="I22"/>
  <c r="I21"/>
  <c r="H22"/>
  <c r="H21"/>
  <c r="G22"/>
  <c r="G21"/>
  <c r="J7"/>
  <c r="J6"/>
  <c r="I7"/>
  <c r="I6"/>
  <c r="H7"/>
  <c r="H6"/>
  <c r="G7"/>
  <c r="G6"/>
  <c r="J46" i="1"/>
  <c r="J45"/>
  <c r="I46"/>
  <c r="I45"/>
  <c r="H46"/>
  <c r="H45"/>
  <c r="G46"/>
  <c r="G45"/>
  <c r="J22"/>
  <c r="I22"/>
  <c r="H22"/>
  <c r="G22"/>
  <c r="J17"/>
  <c r="I17"/>
  <c r="H17"/>
  <c r="G17"/>
  <c r="J23"/>
  <c r="I23"/>
  <c r="H23"/>
  <c r="G23"/>
  <c r="F47" l="1"/>
  <c r="J15" i="2"/>
  <c r="I15"/>
  <c r="H15"/>
  <c r="G15"/>
  <c r="J14"/>
  <c r="I14"/>
  <c r="H14"/>
  <c r="G14"/>
  <c r="G11"/>
  <c r="G38" i="1"/>
  <c r="J35"/>
  <c r="I35"/>
  <c r="H35"/>
  <c r="G35"/>
  <c r="G32"/>
  <c r="J30"/>
  <c r="I30"/>
  <c r="H30"/>
  <c r="G30"/>
  <c r="J29"/>
  <c r="I29"/>
  <c r="H29"/>
  <c r="G29"/>
  <c r="J19"/>
  <c r="I19"/>
  <c r="H19"/>
  <c r="G19"/>
  <c r="G15"/>
  <c r="J12"/>
  <c r="I12"/>
  <c r="H12"/>
  <c r="G12"/>
  <c r="J7"/>
  <c r="I7"/>
  <c r="H7"/>
  <c r="G7"/>
  <c r="J9" i="2" l="1"/>
  <c r="I9"/>
  <c r="H9"/>
  <c r="G9"/>
  <c r="J10"/>
  <c r="I10"/>
  <c r="H10"/>
  <c r="F39" i="1"/>
  <c r="J40"/>
  <c r="J47" s="1"/>
  <c r="I40"/>
  <c r="I47" s="1"/>
  <c r="H40"/>
  <c r="H47" s="1"/>
  <c r="G40"/>
  <c r="G47" s="1"/>
  <c r="J39"/>
  <c r="I39"/>
  <c r="H39"/>
  <c r="G39"/>
  <c r="J32"/>
  <c r="I32"/>
  <c r="H32"/>
  <c r="J33"/>
  <c r="I33"/>
  <c r="H33"/>
  <c r="G33"/>
  <c r="F33"/>
  <c r="J9"/>
  <c r="I9"/>
  <c r="H9"/>
  <c r="G9"/>
  <c r="J6"/>
  <c r="I6"/>
  <c r="H6"/>
  <c r="G6"/>
  <c r="F10" i="2" l="1"/>
  <c r="G10"/>
  <c r="F24" i="1"/>
  <c r="F16"/>
  <c r="F10" l="1"/>
  <c r="G23" i="2"/>
  <c r="I23" l="1"/>
  <c r="H16"/>
  <c r="H23"/>
  <c r="I16"/>
  <c r="J23"/>
  <c r="J16"/>
  <c r="F16"/>
  <c r="G16"/>
  <c r="J24" i="1"/>
  <c r="I24"/>
  <c r="H24"/>
  <c r="G24"/>
  <c r="J16"/>
  <c r="I16"/>
  <c r="H16"/>
  <c r="G16"/>
  <c r="G10"/>
  <c r="J10"/>
  <c r="H10"/>
  <c r="I10" l="1"/>
</calcChain>
</file>

<file path=xl/sharedStrings.xml><?xml version="1.0" encoding="utf-8"?>
<sst xmlns="http://schemas.openxmlformats.org/spreadsheetml/2006/main" count="186" uniqueCount="67">
  <si>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</si>
  <si>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</si>
  <si>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</si>
  <si>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</si>
  <si>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</si>
  <si>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</si>
  <si>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</si>
  <si>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</si>
  <si>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</si>
  <si>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</si>
  <si>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</si>
  <si>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</si>
  <si>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</si>
  <si>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</si>
  <si>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</si>
  <si>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</si>
  <si>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</si>
  <si>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</si>
  <si>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</si>
  <si>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</si>
  <si>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</si>
  <si>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</si>
  <si>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</si>
  <si>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</si>
  <si>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</si>
  <si>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</si>
  <si>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</si>
  <si>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</si>
  <si>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</si>
  <si>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Сок</t>
  </si>
  <si>
    <t>6-10 лет</t>
  </si>
  <si>
    <t>250/5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</si>
  <si>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</si>
  <si>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</si>
  <si>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</si>
  <si>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</si>
  <si>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</si>
  <si>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Рагу из овощей с мясом</t>
  </si>
  <si>
    <t xml:space="preserve">Чай с сахаром </t>
  </si>
  <si>
    <t>Творожное печеньн</t>
  </si>
  <si>
    <t>Масло сливочное</t>
  </si>
  <si>
    <t>Кофейный напиток</t>
  </si>
  <si>
    <t>Яйцо вареное</t>
  </si>
  <si>
    <t>Рассольник ленинградский со сметаной</t>
  </si>
  <si>
    <t>Котлета мясная</t>
  </si>
  <si>
    <t>Макароны отварные с овощами</t>
  </si>
  <si>
    <t>30</t>
  </si>
  <si>
    <t>80</t>
  </si>
  <si>
    <t>100/50</t>
  </si>
  <si>
    <t>Творожное печенье</t>
  </si>
  <si>
    <t>Икра свекольная</t>
  </si>
  <si>
    <t>120/60</t>
  </si>
  <si>
    <t>180/40</t>
  </si>
  <si>
    <t>70</t>
  </si>
  <si>
    <t>180/50</t>
  </si>
  <si>
    <t>МБОУ Элитовская СОШ</t>
  </si>
  <si>
    <t>27</t>
  </si>
  <si>
    <t>29</t>
  </si>
  <si>
    <t>Зефир в шоколаде</t>
  </si>
  <si>
    <t>40</t>
  </si>
  <si>
    <t>26</t>
  </si>
  <si>
    <t>90</t>
  </si>
  <si>
    <t>35</t>
  </si>
  <si>
    <t>25</t>
  </si>
  <si>
    <t>24</t>
  </si>
  <si>
    <t>110/40</t>
  </si>
  <si>
    <t xml:space="preserve">Рассольник ленинградский со сметаной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</si>
</sst>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5" fillId="0" borderId="6" xfId="0" applyNumberFormat="1" applyFont="1" applyFill="1" applyBorder="1" applyProtection="1">
      <protection locked="0"/>
    </xf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2" fontId="5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/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9"/>
  <sheetViews>
    <sheetView tabSelected="1" zoomScaleNormal="100" workbookViewId="0">
      <selection activeCell="B7" sqref="B7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32" bestFit="1" customWidth="1"/>
    <col min="6" max="6" width="9.7109375" style="1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02" t="s">
        <v>55</v>
      </c>
      <c r="C1" s="103"/>
      <c r="D1" s="104"/>
      <c r="E1" s="32" t="s">
        <v>32</v>
      </c>
      <c r="F1" s="31"/>
      <c r="H1" s="1" t="s">
        <v>1</v>
      </c>
      <c r="I1" s="108">
        <v>44620</v>
      </c>
      <c r="J1" s="108"/>
    </row>
    <row r="2" spans="1:10" ht="15.75" thickBot="1">
      <c r="B2" s="2" t="s">
        <v>30</v>
      </c>
    </row>
    <row r="3" spans="1:10" s="39" customFormat="1" ht="30.75" thickBot="1">
      <c r="A3" s="35" t="s">
        <v>2</v>
      </c>
      <c r="B3" s="36" t="s">
        <v>3</v>
      </c>
      <c r="C3" s="36" t="s">
        <v>21</v>
      </c>
      <c r="D3" s="36" t="s">
        <v>4</v>
      </c>
      <c r="E3" s="40" t="s">
        <v>22</v>
      </c>
      <c r="F3" s="40" t="s">
        <v>5</v>
      </c>
      <c r="G3" s="37" t="s">
        <v>6</v>
      </c>
      <c r="H3" s="36" t="s">
        <v>7</v>
      </c>
      <c r="I3" s="36" t="s">
        <v>8</v>
      </c>
      <c r="J3" s="38" t="s">
        <v>9</v>
      </c>
    </row>
    <row r="4" spans="1:10">
      <c r="A4" s="6" t="s">
        <v>10</v>
      </c>
      <c r="B4" s="68" t="s">
        <v>11</v>
      </c>
      <c r="C4" s="69">
        <v>39</v>
      </c>
      <c r="D4" s="70" t="s">
        <v>37</v>
      </c>
      <c r="E4" s="49" t="s">
        <v>52</v>
      </c>
      <c r="F4" s="42">
        <f>15.9*180/180+18.75*40/40</f>
        <v>34.65</v>
      </c>
      <c r="G4" s="10">
        <v>283</v>
      </c>
      <c r="H4" s="10">
        <v>13.43</v>
      </c>
      <c r="I4" s="10">
        <v>17.52</v>
      </c>
      <c r="J4" s="11">
        <v>16.059999999999999</v>
      </c>
    </row>
    <row r="5" spans="1:10">
      <c r="A5" s="12"/>
      <c r="B5" s="73" t="s">
        <v>12</v>
      </c>
      <c r="C5" s="74">
        <v>57</v>
      </c>
      <c r="D5" s="75" t="s">
        <v>38</v>
      </c>
      <c r="E5" s="43">
        <v>200</v>
      </c>
      <c r="F5" s="44">
        <v>1.06</v>
      </c>
      <c r="G5" s="16">
        <v>41</v>
      </c>
      <c r="H5" s="16">
        <v>0</v>
      </c>
      <c r="I5" s="16">
        <v>0</v>
      </c>
      <c r="J5" s="17">
        <v>10.01</v>
      </c>
    </row>
    <row r="6" spans="1:10">
      <c r="A6" s="12"/>
      <c r="B6" s="73" t="s">
        <v>19</v>
      </c>
      <c r="C6" s="74" t="s">
        <v>23</v>
      </c>
      <c r="D6" s="75" t="s">
        <v>24</v>
      </c>
      <c r="E6" s="43">
        <v>26</v>
      </c>
      <c r="F6" s="44">
        <f>40.71*0.026</f>
        <v>1.05846</v>
      </c>
      <c r="G6" s="16">
        <f>40*36/20</f>
        <v>72</v>
      </c>
      <c r="H6" s="16">
        <f>0.98*36/20</f>
        <v>1.764</v>
      </c>
      <c r="I6" s="16">
        <f>0.2*36/20</f>
        <v>0.36</v>
      </c>
      <c r="J6" s="17">
        <f>8.95*36/20</f>
        <v>16.11</v>
      </c>
    </row>
    <row r="7" spans="1:10">
      <c r="A7" s="12"/>
      <c r="B7" s="79"/>
      <c r="C7" s="74" t="s">
        <v>23</v>
      </c>
      <c r="D7" s="75" t="s">
        <v>28</v>
      </c>
      <c r="E7" s="43">
        <v>27</v>
      </c>
      <c r="F7" s="44">
        <f>60*0.027</f>
        <v>1.6199999999999999</v>
      </c>
      <c r="G7" s="16">
        <f>41.6*37/20</f>
        <v>76.960000000000008</v>
      </c>
      <c r="H7" s="16">
        <f>1.6*37/20</f>
        <v>2.96</v>
      </c>
      <c r="I7" s="16">
        <f>0.03*37/20</f>
        <v>5.5499999999999994E-2</v>
      </c>
      <c r="J7" s="17">
        <f>8.02*37/20</f>
        <v>14.837</v>
      </c>
    </row>
    <row r="8" spans="1:10">
      <c r="A8" s="12"/>
      <c r="B8" s="80" t="s">
        <v>25</v>
      </c>
      <c r="C8" s="81" t="s">
        <v>23</v>
      </c>
      <c r="D8" s="82" t="s">
        <v>49</v>
      </c>
      <c r="E8" s="45">
        <v>19</v>
      </c>
      <c r="F8" s="46">
        <f>114.6*0.019</f>
        <v>2.1774</v>
      </c>
      <c r="G8" s="22">
        <v>289.48</v>
      </c>
      <c r="H8" s="22">
        <v>7.06</v>
      </c>
      <c r="I8" s="22">
        <v>19.760000000000002</v>
      </c>
      <c r="J8" s="23">
        <v>7.06</v>
      </c>
    </row>
    <row r="9" spans="1:10">
      <c r="A9" s="13"/>
      <c r="B9" s="79"/>
      <c r="C9" s="74">
        <v>3</v>
      </c>
      <c r="D9" s="75" t="s">
        <v>40</v>
      </c>
      <c r="E9" s="43">
        <v>11</v>
      </c>
      <c r="F9" s="44">
        <f>9*11/10</f>
        <v>9.9</v>
      </c>
      <c r="G9" s="16">
        <f>64.7*1.5</f>
        <v>97.050000000000011</v>
      </c>
      <c r="H9" s="16">
        <f>0.08*1.5</f>
        <v>0.12</v>
      </c>
      <c r="I9" s="16">
        <f>7.15*1.5</f>
        <v>10.725000000000001</v>
      </c>
      <c r="J9" s="16">
        <f>0.12*1.5</f>
        <v>0.18</v>
      </c>
    </row>
    <row r="10" spans="1:10" ht="15.75" thickBot="1">
      <c r="A10" s="12"/>
      <c r="B10" s="25"/>
      <c r="C10" s="26"/>
      <c r="D10" s="27"/>
      <c r="E10" s="47"/>
      <c r="F10" s="48">
        <f>SUM(F4:F9)</f>
        <v>50.465859999999992</v>
      </c>
      <c r="G10" s="28">
        <f>SUM(G4:G8)</f>
        <v>762.44</v>
      </c>
      <c r="H10" s="28">
        <f>SUM(H4:H8)</f>
        <v>25.213999999999999</v>
      </c>
      <c r="I10" s="28">
        <f>SUM(I4:I8)</f>
        <v>37.695499999999996</v>
      </c>
      <c r="J10" s="28">
        <f>SUM(J4:J8)</f>
        <v>64.076999999999998</v>
      </c>
    </row>
    <row r="11" spans="1:10">
      <c r="A11" s="6" t="s">
        <v>26</v>
      </c>
      <c r="B11" s="7"/>
      <c r="C11" s="8">
        <v>2</v>
      </c>
      <c r="D11" s="9" t="s">
        <v>41</v>
      </c>
      <c r="E11" s="41">
        <v>200</v>
      </c>
      <c r="F11" s="42">
        <v>10.59</v>
      </c>
      <c r="G11" s="10">
        <v>100</v>
      </c>
      <c r="H11" s="10">
        <v>3.9</v>
      </c>
      <c r="I11" s="10">
        <v>3</v>
      </c>
      <c r="J11" s="11">
        <v>15.28</v>
      </c>
    </row>
    <row r="12" spans="1:10">
      <c r="A12" s="24"/>
      <c r="B12" s="18"/>
      <c r="C12" s="14">
        <v>3</v>
      </c>
      <c r="D12" s="15" t="s">
        <v>40</v>
      </c>
      <c r="E12" s="43">
        <v>10</v>
      </c>
      <c r="F12" s="44">
        <f>9*10/10</f>
        <v>9</v>
      </c>
      <c r="G12" s="16">
        <f>64.7</f>
        <v>64.7</v>
      </c>
      <c r="H12" s="16">
        <f>0.08</f>
        <v>0.08</v>
      </c>
      <c r="I12" s="16">
        <f>7.15</f>
        <v>7.15</v>
      </c>
      <c r="J12" s="16">
        <f>0.12</f>
        <v>0.12</v>
      </c>
    </row>
    <row r="13" spans="1:10">
      <c r="A13" s="24"/>
      <c r="B13" s="19"/>
      <c r="C13" s="20">
        <v>38</v>
      </c>
      <c r="D13" s="21" t="s">
        <v>42</v>
      </c>
      <c r="E13" s="45">
        <v>50</v>
      </c>
      <c r="F13" s="46">
        <v>9.36</v>
      </c>
      <c r="G13" s="22">
        <v>63</v>
      </c>
      <c r="H13" s="22">
        <v>5.0999999999999996</v>
      </c>
      <c r="I13" s="22">
        <v>4.5999999999999996</v>
      </c>
      <c r="J13" s="16">
        <v>0.3</v>
      </c>
    </row>
    <row r="14" spans="1:10">
      <c r="A14" s="24"/>
      <c r="B14" s="19"/>
      <c r="C14" s="20" t="s">
        <v>23</v>
      </c>
      <c r="D14" s="21" t="s">
        <v>58</v>
      </c>
      <c r="E14" s="45">
        <v>37</v>
      </c>
      <c r="F14" s="46">
        <f>420.48*0.018</f>
        <v>7.5686399999999994</v>
      </c>
      <c r="G14" s="22">
        <v>95.34</v>
      </c>
      <c r="H14" s="22">
        <v>1.61</v>
      </c>
      <c r="I14" s="22">
        <v>2.1</v>
      </c>
      <c r="J14" s="16">
        <v>17.510000000000002</v>
      </c>
    </row>
    <row r="15" spans="1:10">
      <c r="A15" s="24"/>
      <c r="B15" s="19"/>
      <c r="C15" s="20" t="s">
        <v>23</v>
      </c>
      <c r="D15" s="21" t="s">
        <v>28</v>
      </c>
      <c r="E15" s="45">
        <v>23</v>
      </c>
      <c r="F15" s="46">
        <v>1.34</v>
      </c>
      <c r="G15" s="22">
        <f>41.6</f>
        <v>41.6</v>
      </c>
      <c r="H15" s="22">
        <v>1.6</v>
      </c>
      <c r="I15" s="22">
        <v>0.03</v>
      </c>
      <c r="J15" s="16">
        <v>8.02</v>
      </c>
    </row>
    <row r="16" spans="1:10" ht="15.75" thickBot="1">
      <c r="A16" s="33"/>
      <c r="B16" s="19"/>
      <c r="C16" s="20"/>
      <c r="D16" s="21"/>
      <c r="E16" s="45"/>
      <c r="F16" s="46">
        <f>SUM(F11:F15)</f>
        <v>37.858640000000001</v>
      </c>
      <c r="G16" s="22">
        <f>SUM(G11:G12)</f>
        <v>164.7</v>
      </c>
      <c r="H16" s="22">
        <f>SUM(H11:H12)</f>
        <v>3.98</v>
      </c>
      <c r="I16" s="22">
        <f>SUM(I11:I12)</f>
        <v>10.15</v>
      </c>
      <c r="J16" s="22">
        <f>SUM(J11:J12)</f>
        <v>15.399999999999999</v>
      </c>
    </row>
    <row r="17" spans="1:10">
      <c r="A17" s="6" t="s">
        <v>13</v>
      </c>
      <c r="B17" s="7" t="s">
        <v>14</v>
      </c>
      <c r="C17" s="8">
        <v>59</v>
      </c>
      <c r="D17" s="9" t="s">
        <v>50</v>
      </c>
      <c r="E17" s="49" t="s">
        <v>59</v>
      </c>
      <c r="F17" s="42">
        <v>2.89</v>
      </c>
      <c r="G17" s="10">
        <f>79.2*50/60</f>
        <v>66</v>
      </c>
      <c r="H17" s="10">
        <f>1.38*50/60</f>
        <v>1.1499999999999999</v>
      </c>
      <c r="I17" s="10">
        <f>4.08*50/60</f>
        <v>3.4</v>
      </c>
      <c r="J17" s="11">
        <f>9.24*50/60</f>
        <v>7.7</v>
      </c>
    </row>
    <row r="18" spans="1:10" ht="32.450000000000003" customHeight="1">
      <c r="A18" s="12"/>
      <c r="B18" s="13" t="s">
        <v>15</v>
      </c>
      <c r="C18" s="14">
        <v>28</v>
      </c>
      <c r="D18" s="15" t="s">
        <v>43</v>
      </c>
      <c r="E18" s="50" t="s">
        <v>31</v>
      </c>
      <c r="F18" s="44">
        <f>12.68+1.66</f>
        <v>14.34</v>
      </c>
      <c r="G18" s="16">
        <v>148.25</v>
      </c>
      <c r="H18" s="16">
        <v>2.2200000000000002</v>
      </c>
      <c r="I18" s="16">
        <v>6.35</v>
      </c>
      <c r="J18" s="17">
        <v>20.66</v>
      </c>
    </row>
    <row r="19" spans="1:10">
      <c r="A19" s="12"/>
      <c r="B19" s="13" t="s">
        <v>16</v>
      </c>
      <c r="C19" s="14">
        <v>58</v>
      </c>
      <c r="D19" s="15" t="s">
        <v>44</v>
      </c>
      <c r="E19" s="50" t="s">
        <v>53</v>
      </c>
      <c r="F19" s="44">
        <f>41.88*70/90</f>
        <v>32.573333333333338</v>
      </c>
      <c r="G19" s="16">
        <f>257.4*80/90</f>
        <v>228.8</v>
      </c>
      <c r="H19" s="16">
        <f>16.02*80/90</f>
        <v>14.239999999999998</v>
      </c>
      <c r="I19" s="16">
        <f>15.75*80/90</f>
        <v>14</v>
      </c>
      <c r="J19" s="17">
        <f>12.87*80/90</f>
        <v>11.44</v>
      </c>
    </row>
    <row r="20" spans="1:10" ht="30">
      <c r="A20" s="12"/>
      <c r="B20" s="13" t="s">
        <v>17</v>
      </c>
      <c r="C20" s="14">
        <v>16</v>
      </c>
      <c r="D20" s="15" t="s">
        <v>45</v>
      </c>
      <c r="E20" s="50" t="s">
        <v>48</v>
      </c>
      <c r="F20" s="44">
        <f>4.9*100/75+8.49*50/75</f>
        <v>12.193333333333335</v>
      </c>
      <c r="G20" s="16">
        <v>150</v>
      </c>
      <c r="H20" s="16">
        <v>3.24</v>
      </c>
      <c r="I20" s="16">
        <v>7.58</v>
      </c>
      <c r="J20" s="17">
        <v>18.87</v>
      </c>
    </row>
    <row r="21" spans="1:10">
      <c r="A21" s="12"/>
      <c r="B21" s="13" t="s">
        <v>27</v>
      </c>
      <c r="C21" s="14">
        <v>25</v>
      </c>
      <c r="D21" s="15" t="s">
        <v>29</v>
      </c>
      <c r="E21" s="50">
        <v>200</v>
      </c>
      <c r="F21" s="44">
        <v>11.04</v>
      </c>
      <c r="G21" s="16">
        <v>136</v>
      </c>
      <c r="H21" s="16">
        <v>0.6</v>
      </c>
      <c r="I21" s="16">
        <v>0</v>
      </c>
      <c r="J21" s="17">
        <v>33</v>
      </c>
    </row>
    <row r="22" spans="1:10">
      <c r="A22" s="12"/>
      <c r="B22" s="13" t="s">
        <v>20</v>
      </c>
      <c r="C22" s="14" t="s">
        <v>23</v>
      </c>
      <c r="D22" s="15" t="s">
        <v>28</v>
      </c>
      <c r="E22" s="50" t="s">
        <v>56</v>
      </c>
      <c r="F22" s="44">
        <f>60*0.027</f>
        <v>1.6199999999999999</v>
      </c>
      <c r="G22" s="16">
        <f>62.4*31/30</f>
        <v>64.47999999999999</v>
      </c>
      <c r="H22" s="16">
        <f>2.4*31/30</f>
        <v>2.4799999999999995</v>
      </c>
      <c r="I22" s="16">
        <f>0.45*31/30</f>
        <v>0.46500000000000002</v>
      </c>
      <c r="J22" s="17">
        <f>11.37*31/30</f>
        <v>11.748999999999999</v>
      </c>
    </row>
    <row r="23" spans="1:10">
      <c r="A23" s="12"/>
      <c r="B23" s="29" t="s">
        <v>18</v>
      </c>
      <c r="C23" s="20" t="s">
        <v>23</v>
      </c>
      <c r="D23" s="21" t="s">
        <v>24</v>
      </c>
      <c r="E23" s="51" t="s">
        <v>60</v>
      </c>
      <c r="F23" s="46">
        <f>40.71*0.026</f>
        <v>1.05846</v>
      </c>
      <c r="G23" s="22">
        <f>60*31/30</f>
        <v>62</v>
      </c>
      <c r="H23" s="22">
        <f>1.47*31/30</f>
        <v>1.5189999999999999</v>
      </c>
      <c r="I23" s="22">
        <f>0.3*31/30</f>
        <v>0.30999999999999994</v>
      </c>
      <c r="J23" s="23">
        <f>13.44*31/30</f>
        <v>13.888</v>
      </c>
    </row>
    <row r="24" spans="1:10">
      <c r="A24" s="13"/>
      <c r="B24" s="18"/>
      <c r="C24" s="13"/>
      <c r="D24" s="13"/>
      <c r="E24" s="52"/>
      <c r="F24" s="53">
        <f>SUM(F17:F23)</f>
        <v>75.715126666666677</v>
      </c>
      <c r="G24" s="30">
        <f>SUM(G17:G23)</f>
        <v>855.53</v>
      </c>
      <c r="H24" s="30">
        <f>SUM(H17:H23)</f>
        <v>25.449000000000002</v>
      </c>
      <c r="I24" s="30">
        <f>SUM(I17:I23)</f>
        <v>32.104999999999997</v>
      </c>
      <c r="J24" s="30">
        <f>SUM(J17:J23)</f>
        <v>117.307</v>
      </c>
    </row>
    <row r="25" spans="1:10" ht="15.75" thickBot="1">
      <c r="B25" s="2" t="s">
        <v>33</v>
      </c>
      <c r="E25" s="54"/>
      <c r="F25" s="55"/>
    </row>
    <row r="26" spans="1:10" ht="30.75" thickBot="1">
      <c r="A26" s="3" t="s">
        <v>2</v>
      </c>
      <c r="B26" s="4" t="s">
        <v>3</v>
      </c>
      <c r="C26" s="4" t="s">
        <v>21</v>
      </c>
      <c r="D26" s="4" t="s">
        <v>4</v>
      </c>
      <c r="E26" s="56" t="s">
        <v>22</v>
      </c>
      <c r="F26" s="56" t="s">
        <v>5</v>
      </c>
      <c r="G26" s="34" t="s">
        <v>6</v>
      </c>
      <c r="H26" s="4" t="s">
        <v>7</v>
      </c>
      <c r="I26" s="4" t="s">
        <v>8</v>
      </c>
      <c r="J26" s="5" t="s">
        <v>9</v>
      </c>
    </row>
    <row r="27" spans="1:10">
      <c r="A27" s="6" t="s">
        <v>10</v>
      </c>
      <c r="B27" s="68" t="s">
        <v>11</v>
      </c>
      <c r="C27" s="69">
        <v>39</v>
      </c>
      <c r="D27" s="70" t="s">
        <v>37</v>
      </c>
      <c r="E27" s="49" t="s">
        <v>54</v>
      </c>
      <c r="F27" s="42">
        <f>15.9*180/180+18.75*50/40</f>
        <v>39.337499999999999</v>
      </c>
      <c r="G27" s="10">
        <v>283</v>
      </c>
      <c r="H27" s="10">
        <v>13.43</v>
      </c>
      <c r="I27" s="10">
        <v>17.52</v>
      </c>
      <c r="J27" s="11">
        <v>16.059999999999999</v>
      </c>
    </row>
    <row r="28" spans="1:10">
      <c r="A28" s="12"/>
      <c r="B28" s="73" t="s">
        <v>12</v>
      </c>
      <c r="C28" s="74">
        <v>57</v>
      </c>
      <c r="D28" s="75" t="s">
        <v>38</v>
      </c>
      <c r="E28" s="43">
        <v>200</v>
      </c>
      <c r="F28" s="44">
        <v>1.06</v>
      </c>
      <c r="G28" s="16">
        <v>41</v>
      </c>
      <c r="H28" s="16">
        <v>0</v>
      </c>
      <c r="I28" s="16">
        <v>0</v>
      </c>
      <c r="J28" s="17">
        <v>10.01</v>
      </c>
    </row>
    <row r="29" spans="1:10">
      <c r="A29" s="12"/>
      <c r="B29" s="73" t="s">
        <v>19</v>
      </c>
      <c r="C29" s="74" t="s">
        <v>23</v>
      </c>
      <c r="D29" s="75" t="s">
        <v>24</v>
      </c>
      <c r="E29" s="43">
        <v>31</v>
      </c>
      <c r="F29" s="44">
        <f>40.71*0.031</f>
        <v>1.2620100000000001</v>
      </c>
      <c r="G29" s="16">
        <f>40*39/20</f>
        <v>78</v>
      </c>
      <c r="H29" s="16">
        <f>0.98*39/20</f>
        <v>1.911</v>
      </c>
      <c r="I29" s="16">
        <f>0.2*39/20</f>
        <v>0.39</v>
      </c>
      <c r="J29" s="17">
        <f>8.95*39/20</f>
        <v>17.452499999999997</v>
      </c>
    </row>
    <row r="30" spans="1:10">
      <c r="A30" s="12"/>
      <c r="B30" s="79"/>
      <c r="C30" s="74" t="s">
        <v>23</v>
      </c>
      <c r="D30" s="75" t="s">
        <v>28</v>
      </c>
      <c r="E30" s="43">
        <v>31</v>
      </c>
      <c r="F30" s="44">
        <v>1.88</v>
      </c>
      <c r="G30" s="16">
        <f>41.6*41/20</f>
        <v>85.28</v>
      </c>
      <c r="H30" s="16">
        <f>1.6*41/20</f>
        <v>3.2800000000000002</v>
      </c>
      <c r="I30" s="16">
        <f>0.03*41/20</f>
        <v>6.1499999999999999E-2</v>
      </c>
      <c r="J30" s="17">
        <f>8.02*41/20</f>
        <v>16.440999999999999</v>
      </c>
    </row>
    <row r="31" spans="1:10">
      <c r="A31" s="12"/>
      <c r="B31" s="80" t="s">
        <v>25</v>
      </c>
      <c r="C31" s="81" t="s">
        <v>23</v>
      </c>
      <c r="D31" s="82" t="s">
        <v>39</v>
      </c>
      <c r="E31" s="45">
        <v>38</v>
      </c>
      <c r="F31" s="46">
        <f>114.6*0.038</f>
        <v>4.3548</v>
      </c>
      <c r="G31" s="22">
        <v>289.48</v>
      </c>
      <c r="H31" s="22">
        <v>7.06</v>
      </c>
      <c r="I31" s="22">
        <v>19.760000000000002</v>
      </c>
      <c r="J31" s="23">
        <v>7.06</v>
      </c>
    </row>
    <row r="32" spans="1:10">
      <c r="A32" s="13"/>
      <c r="B32" s="79"/>
      <c r="C32" s="74">
        <v>3</v>
      </c>
      <c r="D32" s="75" t="s">
        <v>40</v>
      </c>
      <c r="E32" s="43">
        <v>12</v>
      </c>
      <c r="F32" s="44">
        <f>9*12/10</f>
        <v>10.8</v>
      </c>
      <c r="G32" s="16">
        <f>64.7*1.5</f>
        <v>97.050000000000011</v>
      </c>
      <c r="H32" s="16">
        <f>0.08*1.5</f>
        <v>0.12</v>
      </c>
      <c r="I32" s="16">
        <f>7.15*1.5</f>
        <v>10.725000000000001</v>
      </c>
      <c r="J32" s="16">
        <f>0.12*1.5</f>
        <v>0.18</v>
      </c>
    </row>
    <row r="33" spans="1:10" ht="15.75" thickBot="1">
      <c r="A33" s="12"/>
      <c r="B33" s="25"/>
      <c r="C33" s="26"/>
      <c r="D33" s="27"/>
      <c r="E33" s="47"/>
      <c r="F33" s="48">
        <f>SUM(F27:F32)</f>
        <v>58.694310000000002</v>
      </c>
      <c r="G33" s="28">
        <f>SUM(G27:G31)</f>
        <v>776.76</v>
      </c>
      <c r="H33" s="28">
        <f>SUM(H27:H31)</f>
        <v>25.680999999999997</v>
      </c>
      <c r="I33" s="28">
        <f>SUM(I27:I31)</f>
        <v>37.731499999999997</v>
      </c>
      <c r="J33" s="28">
        <f>SUM(J27:J31)</f>
        <v>67.023499999999999</v>
      </c>
    </row>
    <row r="34" spans="1:10">
      <c r="A34" s="6" t="s">
        <v>26</v>
      </c>
      <c r="B34" s="7"/>
      <c r="C34" s="8">
        <v>2</v>
      </c>
      <c r="D34" s="9" t="s">
        <v>41</v>
      </c>
      <c r="E34" s="41">
        <v>200</v>
      </c>
      <c r="F34" s="42">
        <v>10.59</v>
      </c>
      <c r="G34" s="10">
        <v>100</v>
      </c>
      <c r="H34" s="10">
        <v>3.9</v>
      </c>
      <c r="I34" s="10">
        <v>3</v>
      </c>
      <c r="J34" s="11">
        <v>15.28</v>
      </c>
    </row>
    <row r="35" spans="1:10">
      <c r="A35" s="24"/>
      <c r="B35" s="18"/>
      <c r="C35" s="14">
        <v>3</v>
      </c>
      <c r="D35" s="15" t="s">
        <v>40</v>
      </c>
      <c r="E35" s="43">
        <v>16</v>
      </c>
      <c r="F35" s="44">
        <f>9*16/10</f>
        <v>14.4</v>
      </c>
      <c r="G35" s="16">
        <f>64.7*1.2</f>
        <v>77.64</v>
      </c>
      <c r="H35" s="16">
        <f>0.08*1.2</f>
        <v>9.6000000000000002E-2</v>
      </c>
      <c r="I35" s="16">
        <f>7.15*1.2</f>
        <v>8.58</v>
      </c>
      <c r="J35" s="16">
        <f>0.12*1.2</f>
        <v>0.14399999999999999</v>
      </c>
    </row>
    <row r="36" spans="1:10">
      <c r="A36" s="24"/>
      <c r="B36" s="19"/>
      <c r="C36" s="20">
        <v>38</v>
      </c>
      <c r="D36" s="21" t="s">
        <v>42</v>
      </c>
      <c r="E36" s="45">
        <v>50</v>
      </c>
      <c r="F36" s="46">
        <v>9.36</v>
      </c>
      <c r="G36" s="22">
        <v>63</v>
      </c>
      <c r="H36" s="22">
        <v>5.0999999999999996</v>
      </c>
      <c r="I36" s="22">
        <v>4.5999999999999996</v>
      </c>
      <c r="J36" s="16">
        <v>0.3</v>
      </c>
    </row>
    <row r="37" spans="1:10">
      <c r="A37" s="24"/>
      <c r="B37" s="19"/>
      <c r="C37" s="20" t="s">
        <v>23</v>
      </c>
      <c r="D37" s="21" t="s">
        <v>58</v>
      </c>
      <c r="E37" s="45">
        <v>37</v>
      </c>
      <c r="F37" s="46">
        <f>420.48*0.018</f>
        <v>7.5686399999999994</v>
      </c>
      <c r="G37" s="22">
        <v>95.34</v>
      </c>
      <c r="H37" s="22">
        <v>1.61</v>
      </c>
      <c r="I37" s="22">
        <v>2.1</v>
      </c>
      <c r="J37" s="16">
        <v>17.510000000000002</v>
      </c>
    </row>
    <row r="38" spans="1:10">
      <c r="A38" s="24"/>
      <c r="B38" s="19"/>
      <c r="C38" s="20" t="s">
        <v>23</v>
      </c>
      <c r="D38" s="21" t="s">
        <v>28</v>
      </c>
      <c r="E38" s="45">
        <v>35</v>
      </c>
      <c r="F38" s="46">
        <v>2.09</v>
      </c>
      <c r="G38" s="22">
        <f>41.6</f>
        <v>41.6</v>
      </c>
      <c r="H38" s="22">
        <v>1.6</v>
      </c>
      <c r="I38" s="22">
        <v>0.03</v>
      </c>
      <c r="J38" s="16">
        <v>8.02</v>
      </c>
    </row>
    <row r="39" spans="1:10" ht="15.75" thickBot="1">
      <c r="A39" s="33"/>
      <c r="B39" s="19"/>
      <c r="C39" s="20"/>
      <c r="D39" s="21"/>
      <c r="E39" s="45"/>
      <c r="F39" s="46">
        <f>SUM(F34:F38)</f>
        <v>44.00864</v>
      </c>
      <c r="G39" s="22">
        <f>SUM(G34:G35)</f>
        <v>177.64</v>
      </c>
      <c r="H39" s="22">
        <f t="shared" ref="H39:J39" si="0">SUM(H34:H35)</f>
        <v>3.996</v>
      </c>
      <c r="I39" s="22">
        <f t="shared" si="0"/>
        <v>11.58</v>
      </c>
      <c r="J39" s="22">
        <f t="shared" si="0"/>
        <v>15.423999999999999</v>
      </c>
    </row>
    <row r="40" spans="1:10">
      <c r="A40" s="6" t="s">
        <v>13</v>
      </c>
      <c r="B40" s="7" t="s">
        <v>14</v>
      </c>
      <c r="C40" s="8">
        <v>59</v>
      </c>
      <c r="D40" s="9" t="s">
        <v>50</v>
      </c>
      <c r="E40" s="49" t="s">
        <v>62</v>
      </c>
      <c r="F40" s="42">
        <f>7.28*35/100</f>
        <v>2.548</v>
      </c>
      <c r="G40" s="10">
        <f>79.2*35/60</f>
        <v>46.2</v>
      </c>
      <c r="H40" s="10">
        <f>1.38*35/60</f>
        <v>0.80499999999999994</v>
      </c>
      <c r="I40" s="10">
        <f>4.08*35/60</f>
        <v>2.3800000000000003</v>
      </c>
      <c r="J40" s="11">
        <f>9.24*35/60</f>
        <v>5.3900000000000006</v>
      </c>
    </row>
    <row r="41" spans="1:10" ht="33" customHeight="1">
      <c r="A41" s="12"/>
      <c r="B41" s="13" t="s">
        <v>15</v>
      </c>
      <c r="C41" s="14">
        <v>28</v>
      </c>
      <c r="D41" s="15" t="s">
        <v>43</v>
      </c>
      <c r="E41" s="50" t="s">
        <v>31</v>
      </c>
      <c r="F41" s="44">
        <f>12.68+1.66</f>
        <v>14.34</v>
      </c>
      <c r="G41" s="16">
        <v>148.25</v>
      </c>
      <c r="H41" s="16">
        <v>2.2200000000000002</v>
      </c>
      <c r="I41" s="16">
        <v>6.35</v>
      </c>
      <c r="J41" s="17">
        <v>20.66</v>
      </c>
    </row>
    <row r="42" spans="1:10">
      <c r="A42" s="12"/>
      <c r="B42" s="13" t="s">
        <v>16</v>
      </c>
      <c r="C42" s="14">
        <v>58</v>
      </c>
      <c r="D42" s="15" t="s">
        <v>44</v>
      </c>
      <c r="E42" s="50" t="s">
        <v>61</v>
      </c>
      <c r="F42" s="44">
        <f>46.98*90/100</f>
        <v>42.281999999999996</v>
      </c>
      <c r="G42" s="16">
        <v>257.39999999999998</v>
      </c>
      <c r="H42" s="16">
        <v>16.02</v>
      </c>
      <c r="I42" s="16">
        <v>15.75</v>
      </c>
      <c r="J42" s="17">
        <v>12.87</v>
      </c>
    </row>
    <row r="43" spans="1:10" ht="30">
      <c r="A43" s="12"/>
      <c r="B43" s="13" t="s">
        <v>17</v>
      </c>
      <c r="C43" s="14">
        <v>16</v>
      </c>
      <c r="D43" s="15" t="s">
        <v>45</v>
      </c>
      <c r="E43" s="50" t="s">
        <v>51</v>
      </c>
      <c r="F43" s="44">
        <f>6.06*120/90+10.18*60/90</f>
        <v>14.866666666666667</v>
      </c>
      <c r="G43" s="16">
        <v>150</v>
      </c>
      <c r="H43" s="16">
        <v>3.24</v>
      </c>
      <c r="I43" s="16">
        <v>7.58</v>
      </c>
      <c r="J43" s="17">
        <v>18.87</v>
      </c>
    </row>
    <row r="44" spans="1:10">
      <c r="A44" s="12"/>
      <c r="B44" s="13" t="s">
        <v>27</v>
      </c>
      <c r="C44" s="14">
        <v>25</v>
      </c>
      <c r="D44" s="15" t="s">
        <v>29</v>
      </c>
      <c r="E44" s="50">
        <v>200</v>
      </c>
      <c r="F44" s="44">
        <v>11.04</v>
      </c>
      <c r="G44" s="16">
        <v>136</v>
      </c>
      <c r="H44" s="16">
        <v>0.6</v>
      </c>
      <c r="I44" s="16">
        <v>0</v>
      </c>
      <c r="J44" s="17">
        <v>33</v>
      </c>
    </row>
    <row r="45" spans="1:10">
      <c r="A45" s="12"/>
      <c r="B45" s="13" t="s">
        <v>20</v>
      </c>
      <c r="C45" s="14" t="s">
        <v>23</v>
      </c>
      <c r="D45" s="15" t="s">
        <v>28</v>
      </c>
      <c r="E45" s="50" t="s">
        <v>46</v>
      </c>
      <c r="F45" s="44">
        <v>1.77</v>
      </c>
      <c r="G45" s="16">
        <f>62.4*36/30</f>
        <v>74.88000000000001</v>
      </c>
      <c r="H45" s="16">
        <f>2.4*36/30</f>
        <v>2.88</v>
      </c>
      <c r="I45" s="16">
        <f>0.45*36/30</f>
        <v>0.53999999999999992</v>
      </c>
      <c r="J45" s="17">
        <f>11.37*36/30</f>
        <v>13.644</v>
      </c>
    </row>
    <row r="46" spans="1:10">
      <c r="A46" s="12"/>
      <c r="B46" s="29" t="s">
        <v>18</v>
      </c>
      <c r="C46" s="20" t="s">
        <v>23</v>
      </c>
      <c r="D46" s="21" t="s">
        <v>24</v>
      </c>
      <c r="E46" s="51" t="s">
        <v>57</v>
      </c>
      <c r="F46" s="46">
        <v>1.17</v>
      </c>
      <c r="G46" s="22">
        <f>60*36/30</f>
        <v>72</v>
      </c>
      <c r="H46" s="22">
        <f>1.47*36/30</f>
        <v>1.764</v>
      </c>
      <c r="I46" s="22">
        <f>0.3*36/30</f>
        <v>0.36</v>
      </c>
      <c r="J46" s="23">
        <f>13.44*36/30</f>
        <v>16.128</v>
      </c>
    </row>
    <row r="47" spans="1:10">
      <c r="A47" s="13"/>
      <c r="B47" s="18"/>
      <c r="C47" s="13"/>
      <c r="D47" s="13"/>
      <c r="E47" s="52"/>
      <c r="F47" s="53">
        <f>SUM(F40:F46)</f>
        <v>88.016666666666652</v>
      </c>
      <c r="G47" s="30">
        <f>SUM(G40:G46)</f>
        <v>884.7299999999999</v>
      </c>
      <c r="H47" s="30">
        <f>SUM(H40:H46)</f>
        <v>27.529000000000003</v>
      </c>
      <c r="I47" s="30">
        <f>SUM(I40:I46)</f>
        <v>32.96</v>
      </c>
      <c r="J47" s="30">
        <f>SUM(J40:J46)</f>
        <v>120.56200000000001</v>
      </c>
    </row>
    <row r="48" spans="1:10" s="57" customFormat="1">
      <c r="A48" s="55" t="s">
        <v>34</v>
      </c>
      <c r="B48" s="1"/>
      <c r="C48" s="1"/>
      <c r="D48" s="1"/>
      <c r="E48" s="58"/>
    </row>
    <row r="49" spans="1:1">
      <c r="A49" s="55" t="s">
        <v>35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G15 F16 J16 F10 F39 F33 F19 F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Normal="100" workbookViewId="0">
      <selection activeCell="E5" sqref="E5"/>
    </sheetView>
  </sheetViews>
  <sheetFormatPr defaultColWidth="8.85546875" defaultRowHeight="15"/>
  <cols>
    <col min="1" max="1" width="11.7109375" style="57" bestFit="1" customWidth="1"/>
    <col min="2" max="2" width="11.5703125" style="57" customWidth="1"/>
    <col min="3" max="3" width="7.28515625" style="57" bestFit="1" customWidth="1"/>
    <col min="4" max="4" width="24.7109375" style="57" bestFit="1" customWidth="1"/>
    <col min="5" max="5" width="8.28515625" style="58" bestFit="1" customWidth="1"/>
    <col min="6" max="6" width="6.85546875" style="57" bestFit="1" customWidth="1"/>
    <col min="7" max="7" width="7.7109375" style="57" customWidth="1"/>
    <col min="8" max="8" width="6.85546875" style="57" bestFit="1" customWidth="1"/>
    <col min="9" max="9" width="6.5703125" style="57" customWidth="1"/>
    <col min="10" max="10" width="8.5703125" style="57" customWidth="1"/>
    <col min="11" max="16384" width="8.85546875" style="57"/>
  </cols>
  <sheetData>
    <row r="1" spans="1:10" ht="28.9" customHeight="1">
      <c r="A1" s="57" t="s">
        <v>0</v>
      </c>
      <c r="B1" s="105" t="s">
        <v>55</v>
      </c>
      <c r="C1" s="106"/>
      <c r="D1" s="107"/>
      <c r="E1" s="58" t="s">
        <v>32</v>
      </c>
      <c r="F1" s="59"/>
      <c r="H1" s="57" t="s">
        <v>1</v>
      </c>
      <c r="I1" s="109">
        <v>44620</v>
      </c>
      <c r="J1" s="109"/>
    </row>
    <row r="2" spans="1:10" ht="15.75" thickBot="1">
      <c r="B2" s="60" t="s">
        <v>36</v>
      </c>
    </row>
    <row r="3" spans="1:10" s="66" customFormat="1" ht="30.75" thickBot="1">
      <c r="A3" s="61" t="s">
        <v>2</v>
      </c>
      <c r="B3" s="62" t="s">
        <v>3</v>
      </c>
      <c r="C3" s="62" t="s">
        <v>21</v>
      </c>
      <c r="D3" s="62" t="s">
        <v>4</v>
      </c>
      <c r="E3" s="63" t="s">
        <v>22</v>
      </c>
      <c r="F3" s="63" t="s">
        <v>5</v>
      </c>
      <c r="G3" s="64" t="s">
        <v>6</v>
      </c>
      <c r="H3" s="62" t="s">
        <v>7</v>
      </c>
      <c r="I3" s="62" t="s">
        <v>8</v>
      </c>
      <c r="J3" s="65" t="s">
        <v>9</v>
      </c>
    </row>
    <row r="4" spans="1:10">
      <c r="A4" s="6" t="s">
        <v>10</v>
      </c>
      <c r="B4" s="68" t="s">
        <v>11</v>
      </c>
      <c r="C4" s="69">
        <v>39</v>
      </c>
      <c r="D4" s="70" t="s">
        <v>37</v>
      </c>
      <c r="E4" s="49" t="s">
        <v>52</v>
      </c>
      <c r="F4" s="42">
        <f>26.24*40/40+22.25*180/180</f>
        <v>48.489999999999995</v>
      </c>
      <c r="G4" s="10">
        <v>283</v>
      </c>
      <c r="H4" s="10">
        <v>13.43</v>
      </c>
      <c r="I4" s="10">
        <v>17.52</v>
      </c>
      <c r="J4" s="11">
        <v>16.059999999999999</v>
      </c>
    </row>
    <row r="5" spans="1:10">
      <c r="A5" s="12"/>
      <c r="B5" s="73" t="s">
        <v>12</v>
      </c>
      <c r="C5" s="74">
        <v>57</v>
      </c>
      <c r="D5" s="75" t="s">
        <v>38</v>
      </c>
      <c r="E5" s="43">
        <v>200</v>
      </c>
      <c r="F5" s="44">
        <v>1.48</v>
      </c>
      <c r="G5" s="16">
        <v>41</v>
      </c>
      <c r="H5" s="16">
        <v>0</v>
      </c>
      <c r="I5" s="16">
        <v>0</v>
      </c>
      <c r="J5" s="17">
        <v>10.01</v>
      </c>
    </row>
    <row r="6" spans="1:10">
      <c r="A6" s="12"/>
      <c r="B6" s="73" t="s">
        <v>19</v>
      </c>
      <c r="C6" s="74" t="s">
        <v>23</v>
      </c>
      <c r="D6" s="75" t="s">
        <v>24</v>
      </c>
      <c r="E6" s="43">
        <v>26</v>
      </c>
      <c r="F6" s="44">
        <f>48.86*0.026</f>
        <v>1.2703599999999999</v>
      </c>
      <c r="G6" s="16">
        <f>40*42/20</f>
        <v>84</v>
      </c>
      <c r="H6" s="16">
        <f>0.98*42/20</f>
        <v>2.0579999999999998</v>
      </c>
      <c r="I6" s="16">
        <f>0.2*42/20</f>
        <v>0.42000000000000004</v>
      </c>
      <c r="J6" s="17">
        <f>8.95*42/20</f>
        <v>18.794999999999998</v>
      </c>
    </row>
    <row r="7" spans="1:10">
      <c r="A7" s="12"/>
      <c r="B7" s="79"/>
      <c r="C7" s="74" t="s">
        <v>23</v>
      </c>
      <c r="D7" s="75" t="s">
        <v>28</v>
      </c>
      <c r="E7" s="43">
        <v>27</v>
      </c>
      <c r="F7" s="44">
        <v>1.85</v>
      </c>
      <c r="G7" s="16">
        <f>41.6*42/20</f>
        <v>87.36</v>
      </c>
      <c r="H7" s="16">
        <f>1.6*42/20</f>
        <v>3.3600000000000003</v>
      </c>
      <c r="I7" s="16">
        <f>0.03*42/20</f>
        <v>6.3E-2</v>
      </c>
      <c r="J7" s="17">
        <f>8.02*42/20</f>
        <v>16.841999999999999</v>
      </c>
    </row>
    <row r="8" spans="1:10">
      <c r="A8" s="12"/>
      <c r="B8" s="80" t="s">
        <v>25</v>
      </c>
      <c r="C8" s="81" t="s">
        <v>23</v>
      </c>
      <c r="D8" s="82" t="s">
        <v>39</v>
      </c>
      <c r="E8" s="45">
        <v>19</v>
      </c>
      <c r="F8" s="46">
        <f>114.6*0.019*1.4</f>
        <v>3.0483599999999997</v>
      </c>
      <c r="G8" s="22">
        <v>289.48</v>
      </c>
      <c r="H8" s="22">
        <v>7.06</v>
      </c>
      <c r="I8" s="22">
        <v>19.760000000000002</v>
      </c>
      <c r="J8" s="23">
        <v>7.06</v>
      </c>
    </row>
    <row r="9" spans="1:10">
      <c r="A9" s="13"/>
      <c r="B9" s="79"/>
      <c r="C9" s="74">
        <v>3</v>
      </c>
      <c r="D9" s="75" t="s">
        <v>40</v>
      </c>
      <c r="E9" s="43">
        <v>11</v>
      </c>
      <c r="F9" s="44">
        <f>12.6*11/10</f>
        <v>13.86</v>
      </c>
      <c r="G9" s="16">
        <f>64.7*1.5</f>
        <v>97.050000000000011</v>
      </c>
      <c r="H9" s="16">
        <f>0.08*1.5</f>
        <v>0.12</v>
      </c>
      <c r="I9" s="16">
        <f>7.15*1.5</f>
        <v>10.725000000000001</v>
      </c>
      <c r="J9" s="16">
        <f>0.12*1.5</f>
        <v>0.18</v>
      </c>
    </row>
    <row r="10" spans="1:10" ht="15.75" thickBot="1">
      <c r="A10" s="12"/>
      <c r="B10" s="25"/>
      <c r="C10" s="26"/>
      <c r="D10" s="27"/>
      <c r="E10" s="47"/>
      <c r="F10" s="48">
        <f>SUM(F4:F9)</f>
        <v>69.998719999999992</v>
      </c>
      <c r="G10" s="28">
        <f>SUM(G4:G8)</f>
        <v>784.84</v>
      </c>
      <c r="H10" s="28">
        <f>SUM(H4:H8)</f>
        <v>25.907999999999998</v>
      </c>
      <c r="I10" s="28">
        <f>SUM(I4:I8)</f>
        <v>37.763000000000005</v>
      </c>
      <c r="J10" s="28">
        <f>SUM(J4:J8)</f>
        <v>68.766999999999996</v>
      </c>
    </row>
    <row r="11" spans="1:10">
      <c r="A11" s="67"/>
      <c r="B11" s="68" t="s">
        <v>16</v>
      </c>
      <c r="C11" s="69">
        <v>58</v>
      </c>
      <c r="D11" s="70" t="s">
        <v>44</v>
      </c>
      <c r="E11" s="86" t="s">
        <v>47</v>
      </c>
      <c r="F11" s="71">
        <f>58.63*80/90</f>
        <v>52.115555555555559</v>
      </c>
      <c r="G11" s="16">
        <f>257.4</f>
        <v>257.39999999999998</v>
      </c>
      <c r="H11" s="16">
        <v>16.02</v>
      </c>
      <c r="I11" s="16">
        <v>15.75</v>
      </c>
      <c r="J11" s="17">
        <v>12.87</v>
      </c>
    </row>
    <row r="12" spans="1:10" ht="30">
      <c r="A12" s="72"/>
      <c r="B12" s="73" t="s">
        <v>17</v>
      </c>
      <c r="C12" s="74">
        <v>16</v>
      </c>
      <c r="D12" s="75" t="s">
        <v>45</v>
      </c>
      <c r="E12" s="87" t="s">
        <v>51</v>
      </c>
      <c r="F12" s="44">
        <f>6.85*120/75+15.65*60/75</f>
        <v>23.48</v>
      </c>
      <c r="G12" s="16">
        <v>150</v>
      </c>
      <c r="H12" s="16">
        <v>3.24</v>
      </c>
      <c r="I12" s="16">
        <v>7.58</v>
      </c>
      <c r="J12" s="17">
        <v>18.87</v>
      </c>
    </row>
    <row r="13" spans="1:10">
      <c r="A13" s="72"/>
      <c r="B13" s="73" t="s">
        <v>27</v>
      </c>
      <c r="C13" s="74">
        <v>57</v>
      </c>
      <c r="D13" s="75" t="s">
        <v>38</v>
      </c>
      <c r="E13" s="43">
        <v>200</v>
      </c>
      <c r="F13" s="44">
        <v>1.44</v>
      </c>
      <c r="G13" s="16">
        <v>41</v>
      </c>
      <c r="H13" s="16">
        <v>0</v>
      </c>
      <c r="I13" s="16">
        <v>0</v>
      </c>
      <c r="J13" s="17">
        <v>10.01</v>
      </c>
    </row>
    <row r="14" spans="1:10">
      <c r="A14" s="72"/>
      <c r="B14" s="73" t="s">
        <v>20</v>
      </c>
      <c r="C14" s="74" t="s">
        <v>23</v>
      </c>
      <c r="D14" s="75" t="s">
        <v>28</v>
      </c>
      <c r="E14" s="87" t="s">
        <v>63</v>
      </c>
      <c r="F14" s="76">
        <f>72*0.025</f>
        <v>1.8</v>
      </c>
      <c r="G14" s="77">
        <f>62.4*78/30</f>
        <v>162.23999999999998</v>
      </c>
      <c r="H14" s="77">
        <f>2.4*37/30</f>
        <v>2.96</v>
      </c>
      <c r="I14" s="77">
        <f>0.45*37/30</f>
        <v>0.55500000000000005</v>
      </c>
      <c r="J14" s="78">
        <f>11.37*37/30</f>
        <v>14.023</v>
      </c>
    </row>
    <row r="15" spans="1:10">
      <c r="A15" s="72"/>
      <c r="B15" s="88" t="s">
        <v>18</v>
      </c>
      <c r="C15" s="81" t="s">
        <v>23</v>
      </c>
      <c r="D15" s="82" t="s">
        <v>24</v>
      </c>
      <c r="E15" s="89" t="s">
        <v>64</v>
      </c>
      <c r="F15" s="83">
        <v>1.1599999999999999</v>
      </c>
      <c r="G15" s="84">
        <f>60*36/30</f>
        <v>72</v>
      </c>
      <c r="H15" s="84">
        <f>1.47*36/30</f>
        <v>1.764</v>
      </c>
      <c r="I15" s="84">
        <f>0.3*36/30</f>
        <v>0.36</v>
      </c>
      <c r="J15" s="85">
        <f>13.44*36/30</f>
        <v>16.128</v>
      </c>
    </row>
    <row r="16" spans="1:10" ht="15.75" thickBot="1">
      <c r="A16" s="90"/>
      <c r="B16" s="91"/>
      <c r="C16" s="92"/>
      <c r="D16" s="92"/>
      <c r="E16" s="93"/>
      <c r="F16" s="94">
        <f>SUM(F11:F15)</f>
        <v>79.995555555555555</v>
      </c>
      <c r="G16" s="95">
        <f>SUM(G11:G15)</f>
        <v>682.64</v>
      </c>
      <c r="H16" s="95">
        <f>SUM(H11:H15)</f>
        <v>23.983999999999998</v>
      </c>
      <c r="I16" s="95">
        <f>SUM(I11:I15)</f>
        <v>24.244999999999997</v>
      </c>
      <c r="J16" s="96">
        <f>SUM(J11:J15)</f>
        <v>71.900999999999996</v>
      </c>
    </row>
    <row r="17" spans="1:10" ht="34.9" customHeight="1" thickBot="1">
      <c r="A17" s="67"/>
      <c r="B17" s="97" t="s">
        <v>15</v>
      </c>
      <c r="C17" s="98">
        <v>28</v>
      </c>
      <c r="D17" s="99" t="s">
        <v>66</v>
      </c>
      <c r="E17" s="100" t="s">
        <v>31</v>
      </c>
      <c r="F17" s="101">
        <f>17.76*250/250+2.32</f>
        <v>20.080000000000002</v>
      </c>
      <c r="G17" s="16">
        <v>148.25</v>
      </c>
      <c r="H17" s="16">
        <v>2.2200000000000002</v>
      </c>
      <c r="I17" s="16">
        <v>6.35</v>
      </c>
      <c r="J17" s="17">
        <v>20.66</v>
      </c>
    </row>
    <row r="18" spans="1:10">
      <c r="A18" s="72"/>
      <c r="B18" s="73" t="s">
        <v>16</v>
      </c>
      <c r="C18" s="69">
        <v>58</v>
      </c>
      <c r="D18" s="70" t="s">
        <v>44</v>
      </c>
      <c r="E18" s="86" t="s">
        <v>47</v>
      </c>
      <c r="F18" s="71">
        <f>58.63*80/90</f>
        <v>52.115555555555559</v>
      </c>
      <c r="G18" s="16">
        <v>257.39999999999998</v>
      </c>
      <c r="H18" s="16">
        <v>16.02</v>
      </c>
      <c r="I18" s="16">
        <v>15.75</v>
      </c>
      <c r="J18" s="17">
        <v>12.87</v>
      </c>
    </row>
    <row r="19" spans="1:10" ht="30">
      <c r="A19" s="72"/>
      <c r="B19" s="73"/>
      <c r="C19" s="74">
        <v>16</v>
      </c>
      <c r="D19" s="75" t="s">
        <v>45</v>
      </c>
      <c r="E19" s="87" t="s">
        <v>65</v>
      </c>
      <c r="F19" s="44">
        <f>6.85*110/75+15.65*40/75</f>
        <v>18.393333333333331</v>
      </c>
      <c r="G19" s="16">
        <v>150</v>
      </c>
      <c r="H19" s="16">
        <v>3.24</v>
      </c>
      <c r="I19" s="16">
        <v>7.58</v>
      </c>
      <c r="J19" s="17">
        <v>18.87</v>
      </c>
    </row>
    <row r="20" spans="1:10">
      <c r="A20" s="72"/>
      <c r="B20" s="73" t="s">
        <v>17</v>
      </c>
      <c r="C20" s="74">
        <v>57</v>
      </c>
      <c r="D20" s="75" t="s">
        <v>38</v>
      </c>
      <c r="E20" s="87">
        <v>200</v>
      </c>
      <c r="F20" s="76">
        <v>1.44</v>
      </c>
      <c r="G20" s="16">
        <v>41</v>
      </c>
      <c r="H20" s="16">
        <v>0</v>
      </c>
      <c r="I20" s="16">
        <v>0</v>
      </c>
      <c r="J20" s="17">
        <v>10.01</v>
      </c>
    </row>
    <row r="21" spans="1:10">
      <c r="A21" s="72"/>
      <c r="B21" s="73" t="s">
        <v>27</v>
      </c>
      <c r="C21" s="74" t="s">
        <v>23</v>
      </c>
      <c r="D21" s="75" t="s">
        <v>28</v>
      </c>
      <c r="E21" s="87" t="s">
        <v>63</v>
      </c>
      <c r="F21" s="76">
        <f>72*0.025</f>
        <v>1.8</v>
      </c>
      <c r="G21" s="77">
        <f>62.4*43/30</f>
        <v>89.44</v>
      </c>
      <c r="H21" s="77">
        <f>2.4*43/30</f>
        <v>3.44</v>
      </c>
      <c r="I21" s="77">
        <f>0.45*43/30</f>
        <v>0.64500000000000002</v>
      </c>
      <c r="J21" s="78">
        <f>11.37*43/30</f>
        <v>16.297000000000001</v>
      </c>
    </row>
    <row r="22" spans="1:10">
      <c r="A22" s="72"/>
      <c r="B22" s="73" t="s">
        <v>20</v>
      </c>
      <c r="C22" s="81" t="s">
        <v>23</v>
      </c>
      <c r="D22" s="82" t="s">
        <v>24</v>
      </c>
      <c r="E22" s="89" t="s">
        <v>64</v>
      </c>
      <c r="F22" s="83">
        <f>48.86*0.024</f>
        <v>1.1726399999999999</v>
      </c>
      <c r="G22" s="84">
        <f>60*43/30</f>
        <v>86</v>
      </c>
      <c r="H22" s="84">
        <f>1.47*43/30</f>
        <v>2.1070000000000002</v>
      </c>
      <c r="I22" s="84">
        <f>0.3*43/30</f>
        <v>0.43</v>
      </c>
      <c r="J22" s="85">
        <f>13.44*43/30</f>
        <v>19.263999999999999</v>
      </c>
    </row>
    <row r="23" spans="1:10" ht="15.75" thickBot="1">
      <c r="A23" s="90"/>
      <c r="B23" s="91"/>
      <c r="C23" s="92"/>
      <c r="D23" s="92"/>
      <c r="E23" s="93"/>
      <c r="F23" s="94">
        <f>SUM(F17:F22)</f>
        <v>95.001528888888885</v>
      </c>
      <c r="G23" s="95">
        <f>SUM(G18:G22)</f>
        <v>623.83999999999992</v>
      </c>
      <c r="H23" s="95">
        <f>SUM(H18:H22)</f>
        <v>24.806999999999999</v>
      </c>
      <c r="I23" s="95">
        <f>SUM(I18:I22)</f>
        <v>24.404999999999998</v>
      </c>
      <c r="J23" s="96">
        <f>SUM(J18:J22)</f>
        <v>77.310999999999993</v>
      </c>
    </row>
    <row r="24" spans="1:10" s="1" customFormat="1">
      <c r="E24" s="32"/>
    </row>
    <row r="25" spans="1:10" s="1" customFormat="1">
      <c r="A25" s="55" t="s">
        <v>34</v>
      </c>
      <c r="E25" s="32"/>
    </row>
    <row r="26" spans="1:10" s="1" customFormat="1">
      <c r="E26" s="32"/>
    </row>
    <row r="27" spans="1:10" s="1" customFormat="1">
      <c r="A27" s="55" t="s">
        <v>35</v>
      </c>
      <c r="E27" s="32"/>
    </row>
    <row r="28" spans="1:10" s="1" customFormat="1">
      <c r="E28" s="32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2022-02-25T06:56:49Z</cp:lastPrinted>
  <dcterms:created xsi:type="dcterms:W3CDTF">2015-06-05T18:19:34Z</dcterms:created>
  <dcterms:modified xsi:type="dcterms:W3CDTF">2022-02-25T06:57:29Z</dcterms:modified>
</cp:coreProperties>
</file>