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/>
  <c r="F20"/>
  <c r="F14"/>
  <c r="F13"/>
  <c r="F7"/>
  <c r="F9"/>
  <c r="F8"/>
  <c r="F39" i="1"/>
  <c r="F35"/>
  <c r="F27"/>
  <c r="F28"/>
  <c r="F29"/>
  <c r="F20"/>
  <c r="F19"/>
  <c r="F14"/>
  <c r="F15"/>
  <c r="F6"/>
  <c r="F8"/>
  <c r="F9"/>
  <c r="F18" i="2"/>
  <c r="F17"/>
  <c r="F11"/>
  <c r="F4"/>
  <c r="F34" i="1"/>
  <c r="F37"/>
  <c r="F36"/>
  <c r="F24"/>
  <c r="F4"/>
  <c r="F17"/>
  <c r="F16"/>
  <c r="J10"/>
  <c r="G10"/>
  <c r="I10" l="1"/>
  <c r="H10"/>
  <c r="J22" i="2" l="1"/>
  <c r="J21"/>
  <c r="I22"/>
  <c r="I21"/>
  <c r="H22"/>
  <c r="H21"/>
  <c r="G22"/>
  <c r="G21"/>
  <c r="F23"/>
  <c r="J20"/>
  <c r="J23" s="1"/>
  <c r="I20"/>
  <c r="H20"/>
  <c r="G20"/>
  <c r="J15"/>
  <c r="J14"/>
  <c r="I15"/>
  <c r="I14"/>
  <c r="H15"/>
  <c r="H14"/>
  <c r="G15"/>
  <c r="G14"/>
  <c r="J13"/>
  <c r="I13"/>
  <c r="H13"/>
  <c r="G13"/>
  <c r="J9"/>
  <c r="I9"/>
  <c r="H9"/>
  <c r="G9"/>
  <c r="J8"/>
  <c r="I8"/>
  <c r="H8"/>
  <c r="G8"/>
  <c r="F10"/>
  <c r="J7"/>
  <c r="I7"/>
  <c r="H7"/>
  <c r="G7"/>
  <c r="J6"/>
  <c r="I6"/>
  <c r="H6"/>
  <c r="G6"/>
  <c r="J40" i="1"/>
  <c r="J39"/>
  <c r="I40"/>
  <c r="I39"/>
  <c r="H40"/>
  <c r="H39"/>
  <c r="G40"/>
  <c r="G39"/>
  <c r="J37"/>
  <c r="I37"/>
  <c r="I41" s="1"/>
  <c r="H37"/>
  <c r="G37"/>
  <c r="J34"/>
  <c r="I34"/>
  <c r="H34"/>
  <c r="G34"/>
  <c r="J32"/>
  <c r="J33" s="1"/>
  <c r="I32"/>
  <c r="I33" s="1"/>
  <c r="H32"/>
  <c r="G32"/>
  <c r="J28"/>
  <c r="I28"/>
  <c r="H28"/>
  <c r="G28"/>
  <c r="J27"/>
  <c r="J26"/>
  <c r="I27"/>
  <c r="I26"/>
  <c r="H27"/>
  <c r="H26"/>
  <c r="G27"/>
  <c r="G26"/>
  <c r="G41"/>
  <c r="H33"/>
  <c r="G33"/>
  <c r="J29"/>
  <c r="I29"/>
  <c r="H29"/>
  <c r="G29"/>
  <c r="G30"/>
  <c r="J20"/>
  <c r="J19"/>
  <c r="I20"/>
  <c r="I19"/>
  <c r="H20"/>
  <c r="H19"/>
  <c r="G20"/>
  <c r="G19"/>
  <c r="J17"/>
  <c r="I17"/>
  <c r="H17"/>
  <c r="G17"/>
  <c r="J14"/>
  <c r="J21" s="1"/>
  <c r="I14"/>
  <c r="H14"/>
  <c r="H21" s="1"/>
  <c r="G14"/>
  <c r="J12"/>
  <c r="J13" s="1"/>
  <c r="I12"/>
  <c r="I13" s="1"/>
  <c r="H12"/>
  <c r="H13" s="1"/>
  <c r="G12"/>
  <c r="G13" s="1"/>
  <c r="J9"/>
  <c r="I9"/>
  <c r="H9"/>
  <c r="G9"/>
  <c r="J8"/>
  <c r="I8"/>
  <c r="H8"/>
  <c r="G8"/>
  <c r="J7"/>
  <c r="J6"/>
  <c r="I7"/>
  <c r="I6"/>
  <c r="H7"/>
  <c r="H6"/>
  <c r="G7"/>
  <c r="G6"/>
  <c r="F30"/>
  <c r="F41"/>
  <c r="I23" i="2" l="1"/>
  <c r="G10"/>
  <c r="J16"/>
  <c r="H23"/>
  <c r="H10"/>
  <c r="I10"/>
  <c r="J10"/>
  <c r="I16"/>
  <c r="G16"/>
  <c r="H16"/>
  <c r="G23"/>
  <c r="G21" i="1"/>
  <c r="J30"/>
  <c r="J41"/>
  <c r="I21"/>
  <c r="H30"/>
  <c r="I30"/>
  <c r="H41"/>
  <c r="F13"/>
  <c r="F33"/>
  <c r="F10"/>
  <c r="F21" l="1"/>
  <c r="F16" i="2" l="1"/>
</calcChain>
</file>

<file path=xl/sharedStrings.xml><?xml version="1.0" encoding="utf-8"?>
<sst xmlns="http://schemas.openxmlformats.org/spreadsheetml/2006/main" count="175" uniqueCount="62">
  <si>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</si>
  <si>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</si>
  <si>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</si>
  <si>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</si>
  <si>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</si>
  <si>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</si>
  <si>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</si>
  <si>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</si>
  <si>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</si>
  <si>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</si>
  <si>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</si>
  <si>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</si>
  <si>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</si>
  <si>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</si>
  <si>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</si>
  <si>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</si>
  <si>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</si>
  <si>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</si>
  <si>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</si>
  <si>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</si>
  <si>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</si>
  <si>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</si>
  <si>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</si>
  <si>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</si>
  <si>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</si>
  <si>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</si>
  <si>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</si>
  <si>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</si>
  <si>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</si>
  <si>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</si>
  <si>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</si>
  <si>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</si>
  <si>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</si>
  <si>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</si>
  <si>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</si>
  <si>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Чай с молоком</t>
  </si>
  <si>
    <t>Плов из птицы</t>
  </si>
  <si>
    <t>Огурец соленый</t>
  </si>
  <si>
    <t>Лепешка с сыром</t>
  </si>
  <si>
    <t>Зеленый горошек</t>
  </si>
  <si>
    <t>Рыба тушеная в томате с овощами</t>
  </si>
  <si>
    <t>Пюре картофельное</t>
  </si>
  <si>
    <t>Кампот из смеси сухофруктов</t>
  </si>
  <si>
    <t>180</t>
  </si>
  <si>
    <t>Борщ с капустой и мясом со сметаной</t>
  </si>
  <si>
    <t>50/50</t>
  </si>
  <si>
    <t>45/45</t>
  </si>
  <si>
    <t>130/30</t>
  </si>
  <si>
    <t>240/10/5</t>
  </si>
  <si>
    <t>160/40</t>
  </si>
  <si>
    <t>Сок</t>
  </si>
  <si>
    <t>55</t>
  </si>
  <si>
    <t>85</t>
  </si>
  <si>
    <t>МБОУ Элитовская СОШ</t>
  </si>
  <si>
    <t xml:space="preserve">Зефир </t>
  </si>
  <si>
    <t>Кефир</t>
  </si>
  <si>
    <t>Борщ с капустой со сметаной и мясом</t>
  </si>
  <si>
    <t>245/5/5</t>
  </si>
  <si>
    <t>32</t>
  </si>
  <si>
    <t>38</t>
  </si>
  <si>
    <t>36</t>
  </si>
  <si>
    <t>29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</si>
</sst>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Protection="1"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/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3"/>
  <sheetViews>
    <sheetView tabSelected="1" zoomScaleNormal="100" workbookViewId="0">
      <selection activeCell="C14" sqref="C14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7109375" style="22" customWidth="1"/>
    <col min="6" max="6" width="8.4257812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7" t="s">
        <v>53</v>
      </c>
      <c r="C1" s="118"/>
      <c r="D1" s="119"/>
      <c r="E1" s="22" t="s">
        <v>30</v>
      </c>
      <c r="F1" s="21"/>
      <c r="H1" s="1" t="s">
        <v>1</v>
      </c>
      <c r="I1" s="123">
        <v>44603</v>
      </c>
      <c r="J1" s="123"/>
    </row>
    <row r="2" spans="1:10" ht="15.75" thickBot="1">
      <c r="B2" s="2" t="s">
        <v>29</v>
      </c>
    </row>
    <row r="3" spans="1:10" s="29" customFormat="1" ht="30.75" thickBot="1">
      <c r="A3" s="25" t="s">
        <v>2</v>
      </c>
      <c r="B3" s="26" t="s">
        <v>3</v>
      </c>
      <c r="C3" s="26" t="s">
        <v>21</v>
      </c>
      <c r="D3" s="26" t="s">
        <v>4</v>
      </c>
      <c r="E3" s="65" t="s">
        <v>22</v>
      </c>
      <c r="F3" s="65" t="s">
        <v>5</v>
      </c>
      <c r="G3" s="27" t="s">
        <v>6</v>
      </c>
      <c r="H3" s="26" t="s">
        <v>7</v>
      </c>
      <c r="I3" s="26" t="s">
        <v>8</v>
      </c>
      <c r="J3" s="28" t="s">
        <v>9</v>
      </c>
    </row>
    <row r="4" spans="1:10" ht="15.75">
      <c r="A4" s="6" t="s">
        <v>10</v>
      </c>
      <c r="B4" s="42" t="s">
        <v>11</v>
      </c>
      <c r="C4" s="79">
        <v>34</v>
      </c>
      <c r="D4" s="80" t="s">
        <v>36</v>
      </c>
      <c r="E4" s="66" t="s">
        <v>47</v>
      </c>
      <c r="F4" s="67">
        <f>20.82*30/54+7.69*130/106</f>
        <v>20.997798742138365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75">
      <c r="A5" s="10"/>
      <c r="B5" s="44" t="s">
        <v>12</v>
      </c>
      <c r="C5" s="81">
        <v>20</v>
      </c>
      <c r="D5" s="82" t="s">
        <v>35</v>
      </c>
      <c r="E5" s="68">
        <v>200</v>
      </c>
      <c r="F5" s="69">
        <v>4.41</v>
      </c>
      <c r="G5" s="12">
        <v>70</v>
      </c>
      <c r="H5" s="12">
        <v>1.4</v>
      </c>
      <c r="I5" s="12">
        <v>1.6</v>
      </c>
      <c r="J5" s="13">
        <v>12.36</v>
      </c>
    </row>
    <row r="6" spans="1:10" ht="15.75">
      <c r="A6" s="10"/>
      <c r="B6" s="44" t="s">
        <v>19</v>
      </c>
      <c r="C6" s="81" t="s">
        <v>23</v>
      </c>
      <c r="D6" s="82" t="s">
        <v>24</v>
      </c>
      <c r="E6" s="68">
        <v>24</v>
      </c>
      <c r="F6" s="69">
        <f>40.71*0.024</f>
        <v>0.97704000000000002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75">
      <c r="A7" s="10"/>
      <c r="B7" s="47"/>
      <c r="C7" s="81" t="s">
        <v>23</v>
      </c>
      <c r="D7" s="82" t="s">
        <v>28</v>
      </c>
      <c r="E7" s="68">
        <v>25</v>
      </c>
      <c r="F7" s="69">
        <v>1.45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75">
      <c r="A8" s="10"/>
      <c r="B8" s="47" t="s">
        <v>25</v>
      </c>
      <c r="C8" s="81">
        <v>4</v>
      </c>
      <c r="D8" s="82" t="s">
        <v>37</v>
      </c>
      <c r="E8" s="68">
        <v>30</v>
      </c>
      <c r="F8" s="69">
        <f>21.82*30/60</f>
        <v>10.91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75">
      <c r="A9" s="10"/>
      <c r="B9" s="89"/>
      <c r="C9" s="81" t="s">
        <v>23</v>
      </c>
      <c r="D9" s="82" t="s">
        <v>54</v>
      </c>
      <c r="E9" s="68">
        <v>37</v>
      </c>
      <c r="F9" s="69">
        <f>316.8*0.037</f>
        <v>11.7216</v>
      </c>
      <c r="G9" s="19">
        <f>127.12</f>
        <v>127.12</v>
      </c>
      <c r="H9" s="19">
        <f>2.14</f>
        <v>2.14</v>
      </c>
      <c r="I9" s="19">
        <f>2.8</f>
        <v>2.8</v>
      </c>
      <c r="J9" s="59">
        <f>23.34</f>
        <v>23.34</v>
      </c>
    </row>
    <row r="10" spans="1:10" ht="16.5" thickBot="1">
      <c r="A10" s="96"/>
      <c r="B10" s="97"/>
      <c r="C10" s="98"/>
      <c r="D10" s="99"/>
      <c r="E10" s="100"/>
      <c r="F10" s="101">
        <f>SUM(F4:F9)</f>
        <v>50.466438742138365</v>
      </c>
      <c r="G10" s="102">
        <f>SUM(G4:G9)</f>
        <v>666.4083333333333</v>
      </c>
      <c r="H10" s="102">
        <f>SUM(H4:H9)</f>
        <v>23.378000000000004</v>
      </c>
      <c r="I10" s="102">
        <f>SUM(I4:I9)</f>
        <v>25.052000000000003</v>
      </c>
      <c r="J10" s="102">
        <f>SUM(J4:J9)</f>
        <v>86.0505</v>
      </c>
    </row>
    <row r="11" spans="1:10" ht="15.75">
      <c r="A11" s="6" t="s">
        <v>26</v>
      </c>
      <c r="B11" s="7"/>
      <c r="C11" s="83">
        <v>63</v>
      </c>
      <c r="D11" s="111" t="s">
        <v>55</v>
      </c>
      <c r="E11" s="112">
        <v>200</v>
      </c>
      <c r="F11" s="113">
        <v>25.48</v>
      </c>
      <c r="G11" s="8">
        <v>106</v>
      </c>
      <c r="H11" s="8">
        <v>5.8</v>
      </c>
      <c r="I11" s="8">
        <v>5</v>
      </c>
      <c r="J11" s="9">
        <v>8</v>
      </c>
    </row>
    <row r="12" spans="1:10" ht="15.75">
      <c r="A12" s="18"/>
      <c r="B12" s="14"/>
      <c r="C12" s="85">
        <v>62</v>
      </c>
      <c r="D12" s="114" t="s">
        <v>38</v>
      </c>
      <c r="E12" s="115">
        <v>70</v>
      </c>
      <c r="F12" s="116">
        <v>12.38</v>
      </c>
      <c r="G12" s="12">
        <f>271.84*120/100</f>
        <v>326.20799999999997</v>
      </c>
      <c r="H12" s="12">
        <f>10.49*120/100</f>
        <v>12.587999999999999</v>
      </c>
      <c r="I12" s="12">
        <f>11.32*120/100</f>
        <v>13.584000000000001</v>
      </c>
      <c r="J12" s="12">
        <f>32*120/100</f>
        <v>38.4</v>
      </c>
    </row>
    <row r="13" spans="1:10" ht="16.5" thickBot="1">
      <c r="A13" s="23"/>
      <c r="B13" s="15"/>
      <c r="C13" s="87"/>
      <c r="D13" s="88"/>
      <c r="E13" s="70"/>
      <c r="F13" s="71">
        <f>SUM(F11:F12)</f>
        <v>37.86</v>
      </c>
      <c r="G13" s="16">
        <f>SUM(G11:G12)</f>
        <v>432.20799999999997</v>
      </c>
      <c r="H13" s="16">
        <f t="shared" ref="H13:J13" si="0">SUM(H11:H12)</f>
        <v>18.387999999999998</v>
      </c>
      <c r="I13" s="16">
        <f t="shared" si="0"/>
        <v>18.584000000000003</v>
      </c>
      <c r="J13" s="16">
        <f t="shared" si="0"/>
        <v>46.4</v>
      </c>
    </row>
    <row r="14" spans="1:10" ht="15.75">
      <c r="A14" s="6" t="s">
        <v>13</v>
      </c>
      <c r="B14" s="7" t="s">
        <v>14</v>
      </c>
      <c r="C14" s="83">
        <v>1</v>
      </c>
      <c r="D14" s="84" t="s">
        <v>39</v>
      </c>
      <c r="E14" s="66" t="s">
        <v>51</v>
      </c>
      <c r="F14" s="67">
        <f>16.89*55/60</f>
        <v>15.4825</v>
      </c>
      <c r="G14" s="8">
        <f>24*50/60</f>
        <v>20</v>
      </c>
      <c r="H14" s="8">
        <f>1.86*50/60</f>
        <v>1.55</v>
      </c>
      <c r="I14" s="8">
        <f>0.12*50/60</f>
        <v>0.1</v>
      </c>
      <c r="J14" s="9">
        <f>3.9*50/60</f>
        <v>3.25</v>
      </c>
    </row>
    <row r="15" spans="1:10" ht="32.450000000000003" customHeight="1">
      <c r="A15" s="10"/>
      <c r="B15" s="11" t="s">
        <v>15</v>
      </c>
      <c r="C15" s="85">
        <v>22</v>
      </c>
      <c r="D15" s="86" t="s">
        <v>56</v>
      </c>
      <c r="E15" s="72" t="s">
        <v>57</v>
      </c>
      <c r="F15" s="69">
        <f>6.76*245/250+1.66+7.36*0.5</f>
        <v>11.9648</v>
      </c>
      <c r="G15" s="12">
        <v>108.5</v>
      </c>
      <c r="H15" s="12">
        <v>1.75</v>
      </c>
      <c r="I15" s="12">
        <v>6.05</v>
      </c>
      <c r="J15" s="13">
        <v>11.86</v>
      </c>
    </row>
    <row r="16" spans="1:10" ht="30">
      <c r="A16" s="10"/>
      <c r="B16" s="11" t="s">
        <v>16</v>
      </c>
      <c r="C16" s="85">
        <v>51</v>
      </c>
      <c r="D16" s="86" t="s">
        <v>40</v>
      </c>
      <c r="E16" s="72" t="s">
        <v>46</v>
      </c>
      <c r="F16" s="69">
        <f>22.74*45/45+2.94*45/45</f>
        <v>25.68</v>
      </c>
      <c r="G16" s="12">
        <v>94.5</v>
      </c>
      <c r="H16" s="12">
        <v>8.66</v>
      </c>
      <c r="I16" s="12">
        <v>4.47</v>
      </c>
      <c r="J16" s="13">
        <v>4.6399999999999997</v>
      </c>
    </row>
    <row r="17" spans="1:10" ht="15.75">
      <c r="A17" s="10"/>
      <c r="B17" s="11" t="s">
        <v>17</v>
      </c>
      <c r="C17" s="85">
        <v>7</v>
      </c>
      <c r="D17" s="86" t="s">
        <v>41</v>
      </c>
      <c r="E17" s="72" t="s">
        <v>43</v>
      </c>
      <c r="F17" s="69">
        <f>14.83*180/180</f>
        <v>14.83</v>
      </c>
      <c r="G17" s="12">
        <f>159.12*150/180</f>
        <v>132.6</v>
      </c>
      <c r="H17" s="12">
        <f>3.74*150/180</f>
        <v>3.1166666666666667</v>
      </c>
      <c r="I17" s="12">
        <f>6.12*150/180</f>
        <v>5.0999999999999996</v>
      </c>
      <c r="J17" s="13">
        <f>22.28*150/180</f>
        <v>18.566666666666666</v>
      </c>
    </row>
    <row r="18" spans="1:10" ht="30">
      <c r="A18" s="10"/>
      <c r="B18" s="11" t="s">
        <v>27</v>
      </c>
      <c r="C18" s="85">
        <v>17</v>
      </c>
      <c r="D18" s="86" t="s">
        <v>42</v>
      </c>
      <c r="E18" s="72">
        <v>200</v>
      </c>
      <c r="F18" s="69">
        <v>4.54</v>
      </c>
      <c r="G18" s="12">
        <v>80</v>
      </c>
      <c r="H18" s="12">
        <v>0.44</v>
      </c>
      <c r="I18" s="12">
        <v>0</v>
      </c>
      <c r="J18" s="13">
        <v>18.899999999999999</v>
      </c>
    </row>
    <row r="19" spans="1:10" ht="15.75">
      <c r="A19" s="10"/>
      <c r="B19" s="11" t="s">
        <v>20</v>
      </c>
      <c r="C19" s="85" t="s">
        <v>23</v>
      </c>
      <c r="D19" s="86" t="s">
        <v>28</v>
      </c>
      <c r="E19" s="72" t="s">
        <v>58</v>
      </c>
      <c r="F19" s="69">
        <f>60*0.032</f>
        <v>1.92</v>
      </c>
      <c r="G19" s="12">
        <f>62.4*38/30</f>
        <v>79.039999999999992</v>
      </c>
      <c r="H19" s="12">
        <f>2.4*38/30</f>
        <v>3.04</v>
      </c>
      <c r="I19" s="12">
        <f>0.45*38/30</f>
        <v>0.57000000000000006</v>
      </c>
      <c r="J19" s="13">
        <f>11.37*38/30</f>
        <v>14.401999999999997</v>
      </c>
    </row>
    <row r="20" spans="1:10" ht="15.75">
      <c r="A20" s="10"/>
      <c r="B20" s="20" t="s">
        <v>18</v>
      </c>
      <c r="C20" s="87" t="s">
        <v>23</v>
      </c>
      <c r="D20" s="88" t="s">
        <v>24</v>
      </c>
      <c r="E20" s="73" t="s">
        <v>58</v>
      </c>
      <c r="F20" s="71">
        <f>40.71*0.032</f>
        <v>1.3027200000000001</v>
      </c>
      <c r="G20" s="16">
        <f>60*37/30</f>
        <v>74</v>
      </c>
      <c r="H20" s="16">
        <f>1.47*37/30</f>
        <v>1.8129999999999999</v>
      </c>
      <c r="I20" s="16">
        <f>0.3*37/30</f>
        <v>0.37</v>
      </c>
      <c r="J20" s="17">
        <f>13.44*37/30</f>
        <v>16.576000000000001</v>
      </c>
    </row>
    <row r="21" spans="1:10" ht="16.5" thickBot="1">
      <c r="A21" s="60"/>
      <c r="B21" s="61"/>
      <c r="C21" s="62"/>
      <c r="D21" s="62"/>
      <c r="E21" s="77"/>
      <c r="F21" s="78">
        <f>SUM(F14:F20)</f>
        <v>75.720020000000005</v>
      </c>
      <c r="G21" s="63">
        <f>SUM(G14:G20)</f>
        <v>588.64</v>
      </c>
      <c r="H21" s="63">
        <f t="shared" ref="H21:J21" si="1">SUM(H14:H20)</f>
        <v>20.369666666666667</v>
      </c>
      <c r="I21" s="63">
        <f t="shared" si="1"/>
        <v>16.66</v>
      </c>
      <c r="J21" s="64">
        <f t="shared" si="1"/>
        <v>88.194666666666649</v>
      </c>
    </row>
    <row r="22" spans="1:10" ht="16.5" thickBot="1">
      <c r="B22" s="2" t="s">
        <v>31</v>
      </c>
      <c r="E22" s="74"/>
      <c r="F22" s="75"/>
    </row>
    <row r="23" spans="1:10" ht="30.75" thickBot="1">
      <c r="A23" s="3" t="s">
        <v>2</v>
      </c>
      <c r="B23" s="4" t="s">
        <v>3</v>
      </c>
      <c r="C23" s="4" t="s">
        <v>21</v>
      </c>
      <c r="D23" s="4" t="s">
        <v>4</v>
      </c>
      <c r="E23" s="76" t="s">
        <v>22</v>
      </c>
      <c r="F23" s="76" t="s">
        <v>5</v>
      </c>
      <c r="G23" s="24" t="s">
        <v>6</v>
      </c>
      <c r="H23" s="4" t="s">
        <v>7</v>
      </c>
      <c r="I23" s="4" t="s">
        <v>8</v>
      </c>
      <c r="J23" s="5" t="s">
        <v>9</v>
      </c>
    </row>
    <row r="24" spans="1:10" ht="15.75">
      <c r="A24" s="6" t="s">
        <v>10</v>
      </c>
      <c r="B24" s="42" t="s">
        <v>11</v>
      </c>
      <c r="C24" s="79">
        <v>34</v>
      </c>
      <c r="D24" s="80" t="s">
        <v>36</v>
      </c>
      <c r="E24" s="66" t="s">
        <v>49</v>
      </c>
      <c r="F24" s="67">
        <f>25.96*40/67+8.16*160/133</f>
        <v>25.315048816070025</v>
      </c>
      <c r="G24" s="8">
        <v>436</v>
      </c>
      <c r="H24" s="8">
        <v>19.87</v>
      </c>
      <c r="I24" s="8">
        <v>25.33</v>
      </c>
      <c r="J24" s="9">
        <v>32.130000000000003</v>
      </c>
    </row>
    <row r="25" spans="1:10" ht="15.75">
      <c r="A25" s="10"/>
      <c r="B25" s="44" t="s">
        <v>12</v>
      </c>
      <c r="C25" s="81">
        <v>20</v>
      </c>
      <c r="D25" s="82" t="s">
        <v>35</v>
      </c>
      <c r="E25" s="68">
        <v>200</v>
      </c>
      <c r="F25" s="69">
        <v>4.41</v>
      </c>
      <c r="G25" s="12">
        <v>70</v>
      </c>
      <c r="H25" s="12">
        <v>1.4</v>
      </c>
      <c r="I25" s="12">
        <v>1.6</v>
      </c>
      <c r="J25" s="13">
        <v>12.36</v>
      </c>
    </row>
    <row r="26" spans="1:10" ht="15.75">
      <c r="A26" s="10"/>
      <c r="B26" s="44" t="s">
        <v>19</v>
      </c>
      <c r="C26" s="81" t="s">
        <v>23</v>
      </c>
      <c r="D26" s="82" t="s">
        <v>24</v>
      </c>
      <c r="E26" s="68">
        <v>27</v>
      </c>
      <c r="F26" s="69">
        <v>1.08</v>
      </c>
      <c r="G26" s="12">
        <f>40*38/20</f>
        <v>76</v>
      </c>
      <c r="H26" s="12">
        <f>0.98*38/20</f>
        <v>1.8620000000000001</v>
      </c>
      <c r="I26" s="12">
        <f>0.2*38/20</f>
        <v>0.38</v>
      </c>
      <c r="J26" s="13">
        <f>8.95*38/20</f>
        <v>17.004999999999999</v>
      </c>
    </row>
    <row r="27" spans="1:10" ht="15.75">
      <c r="A27" s="10"/>
      <c r="B27" s="47"/>
      <c r="C27" s="81" t="s">
        <v>23</v>
      </c>
      <c r="D27" s="82" t="s">
        <v>28</v>
      </c>
      <c r="E27" s="68">
        <v>27</v>
      </c>
      <c r="F27" s="69">
        <f>60*0.027</f>
        <v>1.6199999999999999</v>
      </c>
      <c r="G27" s="12">
        <f>41.6*39/20</f>
        <v>81.12</v>
      </c>
      <c r="H27" s="12">
        <f>1.6*39/20</f>
        <v>3.12</v>
      </c>
      <c r="I27" s="12">
        <f>0.03*39/20</f>
        <v>5.8499999999999996E-2</v>
      </c>
      <c r="J27" s="13">
        <f>8.02*39/20</f>
        <v>15.638999999999999</v>
      </c>
    </row>
    <row r="28" spans="1:10" ht="15.75">
      <c r="A28" s="10"/>
      <c r="B28" s="47" t="s">
        <v>25</v>
      </c>
      <c r="C28" s="81">
        <v>4</v>
      </c>
      <c r="D28" s="82" t="s">
        <v>37</v>
      </c>
      <c r="E28" s="68">
        <v>40</v>
      </c>
      <c r="F28" s="69">
        <f>36.37*40/100</f>
        <v>14.548</v>
      </c>
      <c r="G28" s="12">
        <f>14.14*50/60</f>
        <v>11.783333333333333</v>
      </c>
      <c r="H28" s="12">
        <f>0.66*50/60</f>
        <v>0.55000000000000004</v>
      </c>
      <c r="I28" s="12">
        <f>0.12*50/60</f>
        <v>0.1</v>
      </c>
      <c r="J28" s="13">
        <f>2.28*50/60</f>
        <v>1.8999999999999997</v>
      </c>
    </row>
    <row r="29" spans="1:10" ht="15.75">
      <c r="A29" s="10"/>
      <c r="B29" s="89"/>
      <c r="C29" s="81" t="s">
        <v>23</v>
      </c>
      <c r="D29" s="82" t="s">
        <v>54</v>
      </c>
      <c r="E29" s="68">
        <v>37</v>
      </c>
      <c r="F29" s="69">
        <f>316.8*0.037</f>
        <v>11.7216</v>
      </c>
      <c r="G29" s="19">
        <f>127.12</f>
        <v>127.12</v>
      </c>
      <c r="H29" s="19">
        <f>2.14</f>
        <v>2.14</v>
      </c>
      <c r="I29" s="19">
        <f>2.8</f>
        <v>2.8</v>
      </c>
      <c r="J29" s="59">
        <f>23.34</f>
        <v>23.34</v>
      </c>
    </row>
    <row r="30" spans="1:10" ht="16.5" thickBot="1">
      <c r="B30" s="20"/>
      <c r="C30" s="20"/>
      <c r="D30" s="20"/>
      <c r="E30" s="70"/>
      <c r="F30" s="90">
        <f>SUM(F24:F29)</f>
        <v>58.694648816070028</v>
      </c>
      <c r="G30" s="102">
        <f>SUM(G24:G29)</f>
        <v>802.02333333333331</v>
      </c>
      <c r="H30" s="102">
        <f t="shared" ref="H30" si="2">SUM(H24:H29)</f>
        <v>28.942</v>
      </c>
      <c r="I30" s="102">
        <f t="shared" ref="I30" si="3">SUM(I24:I29)</f>
        <v>30.2685</v>
      </c>
      <c r="J30" s="102">
        <f t="shared" ref="J30" si="4">SUM(J24:J29)</f>
        <v>102.37400000000001</v>
      </c>
    </row>
    <row r="31" spans="1:10" ht="15.75">
      <c r="A31" s="6" t="s">
        <v>26</v>
      </c>
      <c r="B31" s="7"/>
      <c r="C31" s="83">
        <v>63</v>
      </c>
      <c r="D31" s="111" t="s">
        <v>55</v>
      </c>
      <c r="E31" s="112">
        <v>200</v>
      </c>
      <c r="F31" s="113">
        <v>25.48</v>
      </c>
      <c r="G31" s="8">
        <v>106</v>
      </c>
      <c r="H31" s="8">
        <v>5.8</v>
      </c>
      <c r="I31" s="8">
        <v>5</v>
      </c>
      <c r="J31" s="9">
        <v>8</v>
      </c>
    </row>
    <row r="32" spans="1:10" ht="15.75">
      <c r="A32" s="10"/>
      <c r="B32" s="14"/>
      <c r="C32" s="85">
        <v>62</v>
      </c>
      <c r="D32" s="114" t="s">
        <v>38</v>
      </c>
      <c r="E32" s="115">
        <v>115</v>
      </c>
      <c r="F32" s="116">
        <v>18.53</v>
      </c>
      <c r="G32" s="12">
        <f>271.84*150/100</f>
        <v>407.75999999999993</v>
      </c>
      <c r="H32" s="12">
        <f>10.49*150/100</f>
        <v>15.734999999999999</v>
      </c>
      <c r="I32" s="12">
        <f>11.32*150/100</f>
        <v>16.98</v>
      </c>
      <c r="J32" s="12">
        <f>32*150/100</f>
        <v>48</v>
      </c>
    </row>
    <row r="33" spans="1:10" ht="16.5" thickBot="1">
      <c r="A33" s="91"/>
      <c r="B33" s="61"/>
      <c r="C33" s="92"/>
      <c r="D33" s="93"/>
      <c r="E33" s="94"/>
      <c r="F33" s="95">
        <f>SUM(F31:F32)</f>
        <v>44.010000000000005</v>
      </c>
      <c r="G33" s="16">
        <f>SUM(G31:G32)</f>
        <v>513.76</v>
      </c>
      <c r="H33" s="16">
        <f t="shared" ref="H33" si="5">SUM(H31:H32)</f>
        <v>21.535</v>
      </c>
      <c r="I33" s="16">
        <f t="shared" ref="I33" si="6">SUM(I31:I32)</f>
        <v>21.98</v>
      </c>
      <c r="J33" s="16">
        <f t="shared" ref="J33" si="7">SUM(J31:J32)</f>
        <v>56</v>
      </c>
    </row>
    <row r="34" spans="1:10" ht="15.75">
      <c r="A34" s="6" t="s">
        <v>13</v>
      </c>
      <c r="B34" s="7" t="s">
        <v>14</v>
      </c>
      <c r="C34" s="83">
        <v>1</v>
      </c>
      <c r="D34" s="84" t="s">
        <v>39</v>
      </c>
      <c r="E34" s="66" t="s">
        <v>52</v>
      </c>
      <c r="F34" s="67">
        <f>28.27*85/100</f>
        <v>24.029499999999999</v>
      </c>
      <c r="G34" s="8">
        <f>24*70/60</f>
        <v>28</v>
      </c>
      <c r="H34" s="8">
        <f>1.86*70/60</f>
        <v>2.1700000000000004</v>
      </c>
      <c r="I34" s="8">
        <f>0.12*70/60</f>
        <v>0.14000000000000001</v>
      </c>
      <c r="J34" s="9">
        <f>3.9*70/60</f>
        <v>4.55</v>
      </c>
    </row>
    <row r="35" spans="1:10" ht="30">
      <c r="A35" s="10"/>
      <c r="B35" s="11" t="s">
        <v>15</v>
      </c>
      <c r="C35" s="85">
        <v>22</v>
      </c>
      <c r="D35" s="86" t="s">
        <v>56</v>
      </c>
      <c r="E35" s="72" t="s">
        <v>57</v>
      </c>
      <c r="F35" s="69">
        <f>6.76*245/250+1.66+7.36*0.5</f>
        <v>11.9648</v>
      </c>
      <c r="G35" s="12">
        <v>108.5</v>
      </c>
      <c r="H35" s="12">
        <v>1.75</v>
      </c>
      <c r="I35" s="12">
        <v>6.05</v>
      </c>
      <c r="J35" s="13">
        <v>11.86</v>
      </c>
    </row>
    <row r="36" spans="1:10" ht="30">
      <c r="A36" s="10"/>
      <c r="B36" s="11" t="s">
        <v>16</v>
      </c>
      <c r="C36" s="85">
        <v>51</v>
      </c>
      <c r="D36" s="86" t="s">
        <v>40</v>
      </c>
      <c r="E36" s="72" t="s">
        <v>45</v>
      </c>
      <c r="F36" s="69">
        <f>25.13*50/50+3.73*50/50</f>
        <v>28.86</v>
      </c>
      <c r="G36" s="12">
        <v>105</v>
      </c>
      <c r="H36" s="12">
        <v>9.6199999999999992</v>
      </c>
      <c r="I36" s="12">
        <v>4.97</v>
      </c>
      <c r="J36" s="13">
        <v>5.15</v>
      </c>
    </row>
    <row r="37" spans="1:10" ht="15.75">
      <c r="A37" s="10"/>
      <c r="B37" s="11" t="s">
        <v>17</v>
      </c>
      <c r="C37" s="85">
        <v>7</v>
      </c>
      <c r="D37" s="86" t="s">
        <v>41</v>
      </c>
      <c r="E37" s="72" t="s">
        <v>43</v>
      </c>
      <c r="F37" s="69">
        <f>14.83*180/180</f>
        <v>14.83</v>
      </c>
      <c r="G37" s="12">
        <f>159.12*180/180</f>
        <v>159.12</v>
      </c>
      <c r="H37" s="12">
        <f>3.74*180/180</f>
        <v>3.74</v>
      </c>
      <c r="I37" s="12">
        <f>6.12*180/180</f>
        <v>6.1199999999999992</v>
      </c>
      <c r="J37" s="13">
        <f>22.28*180/180</f>
        <v>22.28</v>
      </c>
    </row>
    <row r="38" spans="1:10" ht="30">
      <c r="A38" s="10"/>
      <c r="B38" s="11" t="s">
        <v>27</v>
      </c>
      <c r="C38" s="85">
        <v>17</v>
      </c>
      <c r="D38" s="86" t="s">
        <v>42</v>
      </c>
      <c r="E38" s="72">
        <v>200</v>
      </c>
      <c r="F38" s="69">
        <v>4.54</v>
      </c>
      <c r="G38" s="12">
        <v>80</v>
      </c>
      <c r="H38" s="12">
        <v>0.44</v>
      </c>
      <c r="I38" s="12">
        <v>0</v>
      </c>
      <c r="J38" s="13">
        <v>18.899999999999999</v>
      </c>
    </row>
    <row r="39" spans="1:10" ht="15.75">
      <c r="A39" s="10"/>
      <c r="B39" s="11" t="s">
        <v>20</v>
      </c>
      <c r="C39" s="85" t="s">
        <v>23</v>
      </c>
      <c r="D39" s="86" t="s">
        <v>28</v>
      </c>
      <c r="E39" s="72" t="s">
        <v>59</v>
      </c>
      <c r="F39" s="69">
        <f>60*0.038</f>
        <v>2.2799999999999998</v>
      </c>
      <c r="G39" s="12">
        <f>62.4*42/30</f>
        <v>87.359999999999985</v>
      </c>
      <c r="H39" s="12">
        <f>2.4*42/30</f>
        <v>3.36</v>
      </c>
      <c r="I39" s="12">
        <f>0.45*42/30</f>
        <v>0.63000000000000012</v>
      </c>
      <c r="J39" s="13">
        <f>11.37*42/30</f>
        <v>15.917999999999999</v>
      </c>
    </row>
    <row r="40" spans="1:10" ht="15.75">
      <c r="A40" s="10"/>
      <c r="B40" s="20" t="s">
        <v>18</v>
      </c>
      <c r="C40" s="87" t="s">
        <v>23</v>
      </c>
      <c r="D40" s="88" t="s">
        <v>24</v>
      </c>
      <c r="E40" s="73" t="s">
        <v>59</v>
      </c>
      <c r="F40" s="71">
        <v>1.52</v>
      </c>
      <c r="G40" s="16">
        <f>60*41/30</f>
        <v>82</v>
      </c>
      <c r="H40" s="16">
        <f>1.47*41/30</f>
        <v>2.0089999999999999</v>
      </c>
      <c r="I40" s="16">
        <f>0.3*41/30</f>
        <v>0.41</v>
      </c>
      <c r="J40" s="17">
        <f>13.44*41/30</f>
        <v>18.367999999999999</v>
      </c>
    </row>
    <row r="41" spans="1:10" ht="16.5" thickBot="1">
      <c r="A41" s="60"/>
      <c r="B41" s="61"/>
      <c r="C41" s="62"/>
      <c r="D41" s="62"/>
      <c r="E41" s="77"/>
      <c r="F41" s="78">
        <f>SUM(F34:F40)</f>
        <v>88.024299999999997</v>
      </c>
      <c r="G41" s="63">
        <f>SUM(G34:G40)</f>
        <v>649.98</v>
      </c>
      <c r="H41" s="63">
        <f t="shared" ref="H41" si="8">SUM(H34:H40)</f>
        <v>23.089000000000002</v>
      </c>
      <c r="I41" s="63">
        <f t="shared" ref="I41" si="9">SUM(I34:I40)</f>
        <v>18.32</v>
      </c>
      <c r="J41" s="64">
        <f t="shared" ref="J41" si="10">SUM(J34:J40)</f>
        <v>97.025999999999996</v>
      </c>
    </row>
    <row r="42" spans="1:10" s="31" customFormat="1">
      <c r="A42" s="30" t="s">
        <v>32</v>
      </c>
      <c r="B42" s="1"/>
      <c r="C42" s="1"/>
      <c r="D42" s="1"/>
      <c r="E42" s="32"/>
    </row>
    <row r="43" spans="1:10">
      <c r="A43" s="30" t="s">
        <v>33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G27 F33 F13 F10 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D13" sqref="D13"/>
    </sheetView>
  </sheetViews>
  <sheetFormatPr defaultColWidth="8.85546875" defaultRowHeight="15"/>
  <cols>
    <col min="1" max="1" width="11.7109375" style="31" bestFit="1" customWidth="1"/>
    <col min="2" max="2" width="11.5703125" style="31" customWidth="1"/>
    <col min="3" max="3" width="7.28515625" style="31" bestFit="1" customWidth="1"/>
    <col min="4" max="4" width="24.7109375" style="31" bestFit="1" customWidth="1"/>
    <col min="5" max="5" width="9.5703125" style="32" customWidth="1"/>
    <col min="6" max="6" width="7.28515625" style="31" bestFit="1" customWidth="1"/>
    <col min="7" max="7" width="7.7109375" style="31" customWidth="1"/>
    <col min="8" max="8" width="6.85546875" style="31" bestFit="1" customWidth="1"/>
    <col min="9" max="9" width="6.5703125" style="31" customWidth="1"/>
    <col min="10" max="10" width="8.5703125" style="31" customWidth="1"/>
    <col min="11" max="16384" width="8.85546875" style="31"/>
  </cols>
  <sheetData>
    <row r="1" spans="1:10" ht="28.9" customHeight="1">
      <c r="A1" s="31" t="s">
        <v>0</v>
      </c>
      <c r="B1" s="120" t="s">
        <v>53</v>
      </c>
      <c r="C1" s="121"/>
      <c r="D1" s="122"/>
      <c r="E1" s="32" t="s">
        <v>30</v>
      </c>
      <c r="F1" s="33"/>
      <c r="H1" s="31" t="s">
        <v>1</v>
      </c>
      <c r="I1" s="124">
        <v>44603</v>
      </c>
      <c r="J1" s="124"/>
    </row>
    <row r="2" spans="1:10" ht="15.75" thickBot="1">
      <c r="B2" s="34" t="s">
        <v>34</v>
      </c>
    </row>
    <row r="3" spans="1:10" s="40" customFormat="1" ht="30.75" thickBot="1">
      <c r="A3" s="35" t="s">
        <v>2</v>
      </c>
      <c r="B3" s="36" t="s">
        <v>3</v>
      </c>
      <c r="C3" s="36" t="s">
        <v>21</v>
      </c>
      <c r="D3" s="36" t="s">
        <v>4</v>
      </c>
      <c r="E3" s="37" t="s">
        <v>22</v>
      </c>
      <c r="F3" s="37" t="s">
        <v>5</v>
      </c>
      <c r="G3" s="38" t="s">
        <v>6</v>
      </c>
      <c r="H3" s="36" t="s">
        <v>7</v>
      </c>
      <c r="I3" s="36" t="s">
        <v>8</v>
      </c>
      <c r="J3" s="39" t="s">
        <v>9</v>
      </c>
    </row>
    <row r="4" spans="1:10" ht="15.75">
      <c r="A4" s="6" t="s">
        <v>10</v>
      </c>
      <c r="B4" s="42" t="s">
        <v>11</v>
      </c>
      <c r="C4" s="79">
        <v>34</v>
      </c>
      <c r="D4" s="80" t="s">
        <v>36</v>
      </c>
      <c r="E4" s="66" t="s">
        <v>47</v>
      </c>
      <c r="F4" s="67">
        <f>29.14*30/54+8.97*130/106</f>
        <v>27.189832285115308</v>
      </c>
      <c r="G4" s="8">
        <v>348.8</v>
      </c>
      <c r="H4" s="8">
        <v>15.89</v>
      </c>
      <c r="I4" s="8">
        <v>20.27</v>
      </c>
      <c r="J4" s="9">
        <v>25.71</v>
      </c>
    </row>
    <row r="5" spans="1:10" ht="15.75">
      <c r="A5" s="10"/>
      <c r="B5" s="44" t="s">
        <v>12</v>
      </c>
      <c r="C5" s="81">
        <v>20</v>
      </c>
      <c r="D5" s="82" t="s">
        <v>35</v>
      </c>
      <c r="E5" s="68">
        <v>200</v>
      </c>
      <c r="F5" s="69">
        <v>6.17</v>
      </c>
      <c r="G5" s="12">
        <v>70</v>
      </c>
      <c r="H5" s="12">
        <v>1.4</v>
      </c>
      <c r="I5" s="12">
        <v>1.6</v>
      </c>
      <c r="J5" s="13">
        <v>12.36</v>
      </c>
    </row>
    <row r="6" spans="1:10" ht="15.75">
      <c r="A6" s="10"/>
      <c r="B6" s="44" t="s">
        <v>19</v>
      </c>
      <c r="C6" s="81" t="s">
        <v>23</v>
      </c>
      <c r="D6" s="82" t="s">
        <v>24</v>
      </c>
      <c r="E6" s="68">
        <v>41</v>
      </c>
      <c r="F6" s="69">
        <v>2</v>
      </c>
      <c r="G6" s="12">
        <f>40*27/20</f>
        <v>54</v>
      </c>
      <c r="H6" s="12">
        <f>0.98*27/20</f>
        <v>1.323</v>
      </c>
      <c r="I6" s="12">
        <f>0.2*27/20</f>
        <v>0.27</v>
      </c>
      <c r="J6" s="13">
        <f>8.95*27/20</f>
        <v>12.0825</v>
      </c>
    </row>
    <row r="7" spans="1:10" ht="15.75">
      <c r="A7" s="10"/>
      <c r="B7" s="47"/>
      <c r="C7" s="81" t="s">
        <v>23</v>
      </c>
      <c r="D7" s="82" t="s">
        <v>28</v>
      </c>
      <c r="E7" s="68">
        <v>41</v>
      </c>
      <c r="F7" s="69">
        <f>72*0.041</f>
        <v>2.952</v>
      </c>
      <c r="G7" s="12">
        <f>41.6*28/20</f>
        <v>58.239999999999995</v>
      </c>
      <c r="H7" s="12">
        <f>1.6*28/20</f>
        <v>2.2400000000000002</v>
      </c>
      <c r="I7" s="12">
        <f>0.03*28/20</f>
        <v>4.1999999999999996E-2</v>
      </c>
      <c r="J7" s="13">
        <f>8.02*28/20</f>
        <v>11.228</v>
      </c>
    </row>
    <row r="8" spans="1:10" ht="15.75">
      <c r="A8" s="10"/>
      <c r="B8" s="47" t="s">
        <v>25</v>
      </c>
      <c r="C8" s="81">
        <v>4</v>
      </c>
      <c r="D8" s="82" t="s">
        <v>37</v>
      </c>
      <c r="E8" s="68">
        <v>30</v>
      </c>
      <c r="F8" s="69">
        <f>30.55*30/60</f>
        <v>15.275</v>
      </c>
      <c r="G8" s="12">
        <f>14.14*35/60</f>
        <v>8.2483333333333331</v>
      </c>
      <c r="H8" s="12">
        <f>0.66*35/60</f>
        <v>0.38500000000000001</v>
      </c>
      <c r="I8" s="12">
        <f>0.12*35/60</f>
        <v>7.0000000000000007E-2</v>
      </c>
      <c r="J8" s="13">
        <f>2.28*35/60</f>
        <v>1.3299999999999998</v>
      </c>
    </row>
    <row r="9" spans="1:10" ht="15.75">
      <c r="A9" s="11"/>
      <c r="B9" s="89"/>
      <c r="C9" s="81" t="s">
        <v>23</v>
      </c>
      <c r="D9" s="82" t="s">
        <v>54</v>
      </c>
      <c r="E9" s="68">
        <v>37</v>
      </c>
      <c r="F9" s="69">
        <f>316.8*0.037*1.4</f>
        <v>16.410239999999998</v>
      </c>
      <c r="G9" s="19">
        <f>127.12</f>
        <v>127.12</v>
      </c>
      <c r="H9" s="19">
        <f>2.14</f>
        <v>2.14</v>
      </c>
      <c r="I9" s="19">
        <f>2.8</f>
        <v>2.8</v>
      </c>
      <c r="J9" s="59">
        <f>23.34</f>
        <v>23.34</v>
      </c>
    </row>
    <row r="10" spans="1:10" ht="16.5" thickBot="1">
      <c r="A10" s="10"/>
      <c r="B10" s="97"/>
      <c r="C10" s="98"/>
      <c r="D10" s="99"/>
      <c r="E10" s="100"/>
      <c r="F10" s="101">
        <f>SUM(F4:F9)</f>
        <v>69.997072285115308</v>
      </c>
      <c r="G10" s="102">
        <f>SUM(G4:G9)</f>
        <v>666.4083333333333</v>
      </c>
      <c r="H10" s="102">
        <f>SUM(H4:H9)</f>
        <v>23.378000000000004</v>
      </c>
      <c r="I10" s="102">
        <f>SUM(I4:I9)</f>
        <v>25.052000000000003</v>
      </c>
      <c r="J10" s="102">
        <f>SUM(J4:J9)</f>
        <v>86.0505</v>
      </c>
    </row>
    <row r="11" spans="1:10" ht="15.75">
      <c r="A11" s="41"/>
      <c r="B11" s="42" t="s">
        <v>11</v>
      </c>
      <c r="C11" s="79">
        <v>34</v>
      </c>
      <c r="D11" s="80" t="s">
        <v>36</v>
      </c>
      <c r="E11" s="66" t="s">
        <v>49</v>
      </c>
      <c r="F11" s="67">
        <f>36.34*40/67+11.43*160/133</f>
        <v>35.445898327909326</v>
      </c>
      <c r="G11" s="8">
        <v>348.8</v>
      </c>
      <c r="H11" s="8">
        <v>15.89</v>
      </c>
      <c r="I11" s="8">
        <v>20.27</v>
      </c>
      <c r="J11" s="9">
        <v>25.71</v>
      </c>
    </row>
    <row r="12" spans="1:10" ht="15.75">
      <c r="A12" s="43"/>
      <c r="B12" s="44" t="s">
        <v>27</v>
      </c>
      <c r="C12" s="81">
        <v>25</v>
      </c>
      <c r="D12" s="82" t="s">
        <v>50</v>
      </c>
      <c r="E12" s="105">
        <v>200</v>
      </c>
      <c r="F12" s="106">
        <v>14.77</v>
      </c>
      <c r="G12" s="12">
        <v>80</v>
      </c>
      <c r="H12" s="12">
        <v>0.44</v>
      </c>
      <c r="I12" s="12">
        <v>0</v>
      </c>
      <c r="J12" s="13">
        <v>18.899999999999999</v>
      </c>
    </row>
    <row r="13" spans="1:10" ht="15.75">
      <c r="A13" s="43"/>
      <c r="B13" s="47" t="s">
        <v>25</v>
      </c>
      <c r="C13" s="81">
        <v>4</v>
      </c>
      <c r="D13" s="82" t="s">
        <v>37</v>
      </c>
      <c r="E13" s="68">
        <v>50</v>
      </c>
      <c r="F13" s="69">
        <f>30.55*50/60</f>
        <v>25.458333333333332</v>
      </c>
      <c r="G13" s="12">
        <f>14.14*50/60</f>
        <v>11.783333333333333</v>
      </c>
      <c r="H13" s="12">
        <f>0.66*50/60</f>
        <v>0.55000000000000004</v>
      </c>
      <c r="I13" s="12">
        <f>0.12*50/60</f>
        <v>0.1</v>
      </c>
      <c r="J13" s="13">
        <f>2.28*50/60</f>
        <v>1.8999999999999997</v>
      </c>
    </row>
    <row r="14" spans="1:10" ht="15.75">
      <c r="A14" s="43"/>
      <c r="B14" s="44" t="s">
        <v>20</v>
      </c>
      <c r="C14" s="81" t="s">
        <v>23</v>
      </c>
      <c r="D14" s="82" t="s">
        <v>28</v>
      </c>
      <c r="E14" s="105" t="s">
        <v>60</v>
      </c>
      <c r="F14" s="106">
        <f>72*0.036</f>
        <v>2.5919999999999996</v>
      </c>
      <c r="G14" s="45">
        <f>62.4*31/30</f>
        <v>64.47999999999999</v>
      </c>
      <c r="H14" s="45">
        <f>2.4*31/30</f>
        <v>2.4799999999999995</v>
      </c>
      <c r="I14" s="45">
        <f>0.45*31/30</f>
        <v>0.46500000000000002</v>
      </c>
      <c r="J14" s="46">
        <f>11.37*31/30</f>
        <v>11.748999999999999</v>
      </c>
    </row>
    <row r="15" spans="1:10" ht="15.75">
      <c r="A15" s="43"/>
      <c r="B15" s="50" t="s">
        <v>18</v>
      </c>
      <c r="C15" s="103" t="s">
        <v>23</v>
      </c>
      <c r="D15" s="104" t="s">
        <v>24</v>
      </c>
      <c r="E15" s="107" t="s">
        <v>60</v>
      </c>
      <c r="F15" s="108">
        <v>1.73</v>
      </c>
      <c r="G15" s="48">
        <f>60*31/30</f>
        <v>62</v>
      </c>
      <c r="H15" s="48">
        <f>1.47*31/30</f>
        <v>1.5189999999999999</v>
      </c>
      <c r="I15" s="48">
        <f>0.3*31/30</f>
        <v>0.30999999999999994</v>
      </c>
      <c r="J15" s="49">
        <f>13.44*31/30</f>
        <v>13.888</v>
      </c>
    </row>
    <row r="16" spans="1:10" ht="16.5" thickBot="1">
      <c r="A16" s="51"/>
      <c r="B16" s="52"/>
      <c r="C16" s="53"/>
      <c r="D16" s="53"/>
      <c r="E16" s="109"/>
      <c r="F16" s="110">
        <f>SUM(F11:F15)</f>
        <v>79.99623166124266</v>
      </c>
      <c r="G16" s="56">
        <f>SUM(G11:G15)</f>
        <v>567.06333333333339</v>
      </c>
      <c r="H16" s="56">
        <f>SUM(H11:H15)</f>
        <v>20.879000000000001</v>
      </c>
      <c r="I16" s="56">
        <f>SUM(I11:I15)</f>
        <v>21.145</v>
      </c>
      <c r="J16" s="57">
        <f>SUM(J11:J15)</f>
        <v>72.147000000000006</v>
      </c>
    </row>
    <row r="17" spans="1:10" ht="34.9" customHeight="1" thickBot="1">
      <c r="A17" s="41"/>
      <c r="B17" s="58" t="s">
        <v>15</v>
      </c>
      <c r="C17" s="85">
        <v>22</v>
      </c>
      <c r="D17" s="86" t="s">
        <v>44</v>
      </c>
      <c r="E17" s="72" t="s">
        <v>48</v>
      </c>
      <c r="F17" s="69">
        <f>9.46*230/250+2.32+7.36*1</f>
        <v>18.383200000000002</v>
      </c>
      <c r="G17" s="12">
        <v>108.5</v>
      </c>
      <c r="H17" s="12">
        <v>1.75</v>
      </c>
      <c r="I17" s="12">
        <v>6.05</v>
      </c>
      <c r="J17" s="13">
        <v>11.86</v>
      </c>
    </row>
    <row r="18" spans="1:10" ht="15.75">
      <c r="A18" s="43"/>
      <c r="B18" s="42" t="s">
        <v>16</v>
      </c>
      <c r="C18" s="79">
        <v>34</v>
      </c>
      <c r="D18" s="80" t="s">
        <v>36</v>
      </c>
      <c r="E18" s="66" t="s">
        <v>49</v>
      </c>
      <c r="F18" s="67">
        <f>36.34*40/67+11.43*160/133</f>
        <v>35.445898327909326</v>
      </c>
      <c r="G18" s="8">
        <v>348.8</v>
      </c>
      <c r="H18" s="8">
        <v>15.89</v>
      </c>
      <c r="I18" s="8">
        <v>20.27</v>
      </c>
      <c r="J18" s="9">
        <v>25.71</v>
      </c>
    </row>
    <row r="19" spans="1:10" ht="15.75">
      <c r="A19" s="43"/>
      <c r="B19" s="44" t="s">
        <v>27</v>
      </c>
      <c r="C19" s="81">
        <v>25</v>
      </c>
      <c r="D19" s="82" t="s">
        <v>50</v>
      </c>
      <c r="E19" s="105">
        <v>200</v>
      </c>
      <c r="F19" s="106">
        <v>14.77</v>
      </c>
      <c r="G19" s="12">
        <v>80</v>
      </c>
      <c r="H19" s="12">
        <v>0.44</v>
      </c>
      <c r="I19" s="12">
        <v>0</v>
      </c>
      <c r="J19" s="13">
        <v>18.899999999999999</v>
      </c>
    </row>
    <row r="20" spans="1:10" ht="15.75">
      <c r="A20" s="43"/>
      <c r="B20" s="47" t="s">
        <v>25</v>
      </c>
      <c r="C20" s="81">
        <v>4</v>
      </c>
      <c r="D20" s="82" t="s">
        <v>37</v>
      </c>
      <c r="E20" s="68">
        <v>45</v>
      </c>
      <c r="F20" s="69">
        <f>30.55*45/60</f>
        <v>22.912500000000001</v>
      </c>
      <c r="G20" s="12">
        <f>14.14*50/60</f>
        <v>11.783333333333333</v>
      </c>
      <c r="H20" s="12">
        <f>0.66*50/60</f>
        <v>0.55000000000000004</v>
      </c>
      <c r="I20" s="12">
        <f>0.12*50/60</f>
        <v>0.1</v>
      </c>
      <c r="J20" s="13">
        <f>2.28*50/60</f>
        <v>1.8999999999999997</v>
      </c>
    </row>
    <row r="21" spans="1:10" ht="15.75">
      <c r="A21" s="43"/>
      <c r="B21" s="44" t="s">
        <v>20</v>
      </c>
      <c r="C21" s="81" t="s">
        <v>23</v>
      </c>
      <c r="D21" s="82" t="s">
        <v>28</v>
      </c>
      <c r="E21" s="105" t="s">
        <v>61</v>
      </c>
      <c r="F21" s="106">
        <f>72*0.029</f>
        <v>2.0880000000000001</v>
      </c>
      <c r="G21" s="45">
        <f>62.4*37/30</f>
        <v>76.959999999999994</v>
      </c>
      <c r="H21" s="45">
        <f>2.4*37/30</f>
        <v>2.96</v>
      </c>
      <c r="I21" s="45">
        <f>0.45*37/30</f>
        <v>0.55500000000000005</v>
      </c>
      <c r="J21" s="46">
        <f>11.37*37/30</f>
        <v>14.023</v>
      </c>
    </row>
    <row r="22" spans="1:10" ht="15.75">
      <c r="A22" s="43"/>
      <c r="B22" s="50" t="s">
        <v>18</v>
      </c>
      <c r="C22" s="103" t="s">
        <v>23</v>
      </c>
      <c r="D22" s="104" t="s">
        <v>24</v>
      </c>
      <c r="E22" s="107" t="s">
        <v>61</v>
      </c>
      <c r="F22" s="108">
        <v>1.4</v>
      </c>
      <c r="G22" s="48">
        <f>60*39/30</f>
        <v>78</v>
      </c>
      <c r="H22" s="48">
        <f>1.47*36/30</f>
        <v>1.764</v>
      </c>
      <c r="I22" s="48">
        <f>0.3*36/30</f>
        <v>0.36</v>
      </c>
      <c r="J22" s="49">
        <f>13.44*36/30</f>
        <v>16.128</v>
      </c>
    </row>
    <row r="23" spans="1:10" ht="15.75" thickBot="1">
      <c r="A23" s="51"/>
      <c r="B23" s="52"/>
      <c r="C23" s="53"/>
      <c r="D23" s="53"/>
      <c r="E23" s="54"/>
      <c r="F23" s="55">
        <f>SUM(F17:F22)</f>
        <v>94.999598327909325</v>
      </c>
      <c r="G23" s="56">
        <f>SUM(G17:G22)</f>
        <v>704.04333333333329</v>
      </c>
      <c r="H23" s="56">
        <f>SUM(H17:H22)</f>
        <v>23.354000000000003</v>
      </c>
      <c r="I23" s="56">
        <f>SUM(I17:I22)</f>
        <v>27.335000000000001</v>
      </c>
      <c r="J23" s="57">
        <f>SUM(J17:J22)</f>
        <v>88.521000000000001</v>
      </c>
    </row>
    <row r="24" spans="1:10" s="1" customFormat="1">
      <c r="E24" s="22"/>
    </row>
    <row r="25" spans="1:10" s="1" customFormat="1">
      <c r="A25" s="30" t="s">
        <v>32</v>
      </c>
      <c r="E25" s="22"/>
    </row>
    <row r="26" spans="1:10" s="1" customFormat="1">
      <c r="E26" s="22"/>
    </row>
    <row r="27" spans="1:10" s="1" customFormat="1">
      <c r="A27" s="30" t="s">
        <v>33</v>
      </c>
      <c r="E27" s="22"/>
    </row>
    <row r="28" spans="1:10" s="1" customFormat="1">
      <c r="E28" s="2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F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2022-02-10T02:53:07Z</cp:lastPrinted>
  <dcterms:created xsi:type="dcterms:W3CDTF">2015-06-05T18:19:34Z</dcterms:created>
  <dcterms:modified xsi:type="dcterms:W3CDTF">2022-02-10T02:53:27Z</dcterms:modified>
</cp:coreProperties>
</file>