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/>
  <c r="F35"/>
  <c r="F27"/>
  <c r="F30"/>
  <c r="F29"/>
  <c r="F21"/>
  <c r="F14"/>
  <c r="F6"/>
  <c r="F8"/>
  <c r="F6" i="2"/>
  <c r="F9"/>
  <c r="F39" i="1"/>
  <c r="F9"/>
  <c r="F17"/>
  <c r="F18"/>
  <c r="F23" i="2"/>
  <c r="F20"/>
  <c r="F21"/>
  <c r="F18"/>
  <c r="F15"/>
  <c r="F16"/>
  <c r="F12"/>
  <c r="F13"/>
  <c r="F11"/>
  <c r="F38" i="1"/>
  <c r="F37"/>
  <c r="F36"/>
  <c r="F16"/>
  <c r="F15"/>
  <c r="G17" i="2"/>
  <c r="F8"/>
  <c r="J21" l="1"/>
  <c r="I21"/>
  <c r="H21"/>
  <c r="G21"/>
  <c r="J24"/>
  <c r="I24"/>
  <c r="H24"/>
  <c r="G24"/>
  <c r="J23"/>
  <c r="I23"/>
  <c r="H23"/>
  <c r="G23"/>
  <c r="J19"/>
  <c r="I19"/>
  <c r="H19"/>
  <c r="G19"/>
  <c r="J42" i="1"/>
  <c r="I42"/>
  <c r="H42"/>
  <c r="G42"/>
  <c r="J41"/>
  <c r="I41"/>
  <c r="H41"/>
  <c r="G41"/>
  <c r="J35"/>
  <c r="I35"/>
  <c r="H35"/>
  <c r="G35"/>
  <c r="J21" l="1"/>
  <c r="I21"/>
  <c r="H21"/>
  <c r="G21"/>
  <c r="J20"/>
  <c r="I20"/>
  <c r="H20"/>
  <c r="G20"/>
  <c r="J16"/>
  <c r="I16"/>
  <c r="H16"/>
  <c r="G16"/>
  <c r="J14"/>
  <c r="I14"/>
  <c r="H14"/>
  <c r="G14"/>
  <c r="J9"/>
  <c r="I9"/>
  <c r="H9"/>
  <c r="G9"/>
  <c r="J20" i="2" l="1"/>
  <c r="I20"/>
  <c r="H20"/>
  <c r="G20"/>
  <c r="G25" s="1"/>
  <c r="F25"/>
  <c r="J25"/>
  <c r="I25"/>
  <c r="H25"/>
  <c r="J16"/>
  <c r="J15"/>
  <c r="I16"/>
  <c r="I15"/>
  <c r="H16"/>
  <c r="H15"/>
  <c r="G16"/>
  <c r="G15"/>
  <c r="J12"/>
  <c r="I12"/>
  <c r="H12"/>
  <c r="G12"/>
  <c r="J7"/>
  <c r="J6"/>
  <c r="I7"/>
  <c r="I6"/>
  <c r="H7"/>
  <c r="H6"/>
  <c r="G7"/>
  <c r="G6"/>
  <c r="J18"/>
  <c r="I18"/>
  <c r="H18"/>
  <c r="G18"/>
  <c r="J13"/>
  <c r="I13"/>
  <c r="H13"/>
  <c r="G13"/>
  <c r="J11"/>
  <c r="I11"/>
  <c r="H11"/>
  <c r="G11"/>
  <c r="J9"/>
  <c r="I9"/>
  <c r="H9"/>
  <c r="G9"/>
  <c r="J8"/>
  <c r="I8"/>
  <c r="H8"/>
  <c r="G8"/>
  <c r="F10"/>
  <c r="H17" l="1"/>
  <c r="I17"/>
  <c r="J17"/>
  <c r="F17"/>
  <c r="J10"/>
  <c r="G10"/>
  <c r="H10"/>
  <c r="I10"/>
  <c r="J39" i="1"/>
  <c r="I39"/>
  <c r="H39"/>
  <c r="G39"/>
  <c r="J37"/>
  <c r="I37"/>
  <c r="H37"/>
  <c r="G37"/>
  <c r="J33"/>
  <c r="I33"/>
  <c r="H33"/>
  <c r="G33"/>
  <c r="J28"/>
  <c r="J27"/>
  <c r="I28"/>
  <c r="I27"/>
  <c r="H28"/>
  <c r="H27"/>
  <c r="G28"/>
  <c r="G27"/>
  <c r="F31"/>
  <c r="J40"/>
  <c r="I40"/>
  <c r="H40"/>
  <c r="G40"/>
  <c r="J38"/>
  <c r="I38"/>
  <c r="H38"/>
  <c r="G38"/>
  <c r="J36"/>
  <c r="J43" s="1"/>
  <c r="I36"/>
  <c r="I43" s="1"/>
  <c r="H36"/>
  <c r="G36"/>
  <c r="J34"/>
  <c r="I34"/>
  <c r="H34"/>
  <c r="G34"/>
  <c r="J30"/>
  <c r="I30"/>
  <c r="H30"/>
  <c r="G30"/>
  <c r="J29"/>
  <c r="I29"/>
  <c r="H29"/>
  <c r="H31" s="1"/>
  <c r="G29"/>
  <c r="G31" s="1"/>
  <c r="H22"/>
  <c r="J19"/>
  <c r="I19"/>
  <c r="H19"/>
  <c r="G19"/>
  <c r="J18"/>
  <c r="I18"/>
  <c r="H18"/>
  <c r="G18"/>
  <c r="J17"/>
  <c r="I17"/>
  <c r="H17"/>
  <c r="G17"/>
  <c r="J15"/>
  <c r="I15"/>
  <c r="I22" s="1"/>
  <c r="H15"/>
  <c r="G15"/>
  <c r="G22" s="1"/>
  <c r="H13"/>
  <c r="J12"/>
  <c r="J13" s="1"/>
  <c r="I12"/>
  <c r="I13" s="1"/>
  <c r="H12"/>
  <c r="G12"/>
  <c r="G13" s="1"/>
  <c r="H10"/>
  <c r="G8"/>
  <c r="J8"/>
  <c r="I8"/>
  <c r="H8"/>
  <c r="J7"/>
  <c r="I7"/>
  <c r="H7"/>
  <c r="G7"/>
  <c r="G6"/>
  <c r="G10" s="1"/>
  <c r="J6"/>
  <c r="I6"/>
  <c r="I10" s="1"/>
  <c r="H6"/>
  <c r="F43"/>
  <c r="F34"/>
  <c r="F22"/>
  <c r="J10" l="1"/>
  <c r="J31"/>
  <c r="J22"/>
  <c r="I31"/>
  <c r="G43"/>
  <c r="H43"/>
  <c r="F13" l="1"/>
  <c r="F10"/>
</calcChain>
</file>

<file path=xl/sharedStrings.xml><?xml version="1.0" encoding="utf-8"?>
<sst xmlns="http://schemas.openxmlformats.org/spreadsheetml/2006/main" count="183" uniqueCount="62">
  <si>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</si>
  <si>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</si>
  <si>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</si>
  <si>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</si>
  <si>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</si>
  <si>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</si>
  <si>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</si>
  <si>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</si>
  <si>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</si>
  <si>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</si>
  <si>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</si>
  <si>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</si>
  <si>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</si>
  <si>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</si>
  <si>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</si>
  <si>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</si>
  <si>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</si>
  <si>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</si>
  <si>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</si>
  <si>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</si>
  <si>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</si>
  <si>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</si>
  <si>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</si>
  <si>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</si>
  <si>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</si>
  <si>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</si>
  <si>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</si>
  <si>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</si>
  <si>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</si>
  <si>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</si>
  <si>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</si>
  <si>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</si>
  <si>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</si>
  <si>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</si>
  <si>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</si>
  <si>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</si>
  <si>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</si>
  <si>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</si>
  <si>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</si>
  <si>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</si>
  <si>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</si>
  <si>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</si>
  <si>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</si>
  <si>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</si>
  <si>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</si>
  <si>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25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</si>
  <si>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</si>
  <si>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</si>
  <si>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</si>
  <si>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</si>
  <si>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</si>
  <si>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</si>
  <si>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30</t>
  </si>
  <si>
    <t>100/80</t>
  </si>
  <si>
    <t>20</t>
  </si>
  <si>
    <t>100</t>
  </si>
  <si>
    <t>29</t>
  </si>
  <si>
    <t>26</t>
  </si>
  <si>
    <t>80</t>
  </si>
  <si>
    <t>31</t>
  </si>
  <si>
    <t>МБОУ Элитовская СОШ</t>
  </si>
  <si>
    <t>10.01.2022г.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</si>
</sst>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2" fontId="6" fillId="0" borderId="6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2" fontId="6" fillId="0" borderId="18" xfId="0" applyNumberFormat="1" applyFont="1" applyFill="1" applyBorder="1"/>
    <xf numFmtId="2" fontId="6" fillId="0" borderId="1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tabSelected="1" zoomScaleNormal="100" workbookViewId="0">
      <selection activeCell="D7" sqref="D7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6.855468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7" t="s">
        <v>60</v>
      </c>
      <c r="C1" s="118"/>
      <c r="D1" s="119"/>
      <c r="E1" s="32" t="s">
        <v>46</v>
      </c>
      <c r="F1" s="31"/>
      <c r="H1" s="1" t="s">
        <v>1</v>
      </c>
      <c r="I1" s="124" t="s">
        <v>61</v>
      </c>
      <c r="J1" s="124"/>
    </row>
    <row r="2" spans="1:10" ht="15.75" thickBot="1">
      <c r="B2" s="2" t="s">
        <v>34</v>
      </c>
    </row>
    <row r="3" spans="1:10" s="39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40" t="s">
        <v>22</v>
      </c>
      <c r="F3" s="40" t="s">
        <v>5</v>
      </c>
      <c r="G3" s="37" t="s">
        <v>6</v>
      </c>
      <c r="H3" s="36" t="s">
        <v>7</v>
      </c>
      <c r="I3" s="36" t="s">
        <v>8</v>
      </c>
      <c r="J3" s="38" t="s">
        <v>9</v>
      </c>
    </row>
    <row r="4" spans="1:10" ht="30">
      <c r="A4" s="6" t="s">
        <v>10</v>
      </c>
      <c r="B4" s="7" t="s">
        <v>11</v>
      </c>
      <c r="C4" s="8">
        <v>53</v>
      </c>
      <c r="D4" s="9" t="s">
        <v>35</v>
      </c>
      <c r="E4" s="41">
        <v>200</v>
      </c>
      <c r="F4" s="42">
        <v>11.92</v>
      </c>
      <c r="G4" s="10">
        <v>146</v>
      </c>
      <c r="H4" s="10">
        <v>5.7</v>
      </c>
      <c r="I4" s="10">
        <v>5.28</v>
      </c>
      <c r="J4" s="11">
        <v>18.88</v>
      </c>
    </row>
    <row r="5" spans="1:10">
      <c r="A5" s="12"/>
      <c r="B5" s="13" t="s">
        <v>12</v>
      </c>
      <c r="C5" s="14">
        <v>30</v>
      </c>
      <c r="D5" s="15" t="s">
        <v>36</v>
      </c>
      <c r="E5" s="43">
        <v>200</v>
      </c>
      <c r="F5" s="44">
        <v>3.4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>
      <c r="A6" s="12"/>
      <c r="B6" s="13" t="s">
        <v>19</v>
      </c>
      <c r="C6" s="14" t="s">
        <v>23</v>
      </c>
      <c r="D6" s="15" t="s">
        <v>24</v>
      </c>
      <c r="E6" s="43">
        <v>28</v>
      </c>
      <c r="F6" s="44">
        <f>46.86*0.028</f>
        <v>1.3120799999999999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>
      <c r="A7" s="12"/>
      <c r="B7" s="18"/>
      <c r="C7" s="14" t="s">
        <v>23</v>
      </c>
      <c r="D7" s="15" t="s">
        <v>25</v>
      </c>
      <c r="E7" s="43">
        <v>29</v>
      </c>
      <c r="F7" s="44">
        <v>2.1800000000000002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>
      <c r="A8" s="12"/>
      <c r="B8" s="19" t="s">
        <v>26</v>
      </c>
      <c r="C8" s="20" t="s">
        <v>23</v>
      </c>
      <c r="D8" s="21" t="s">
        <v>37</v>
      </c>
      <c r="E8" s="45">
        <v>120</v>
      </c>
      <c r="F8" s="46">
        <f>23.88*120/142</f>
        <v>20.180281690140845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>
      <c r="A9" s="24"/>
      <c r="B9" s="18"/>
      <c r="C9" s="14">
        <v>6</v>
      </c>
      <c r="D9" s="15" t="s">
        <v>27</v>
      </c>
      <c r="E9" s="43">
        <v>16</v>
      </c>
      <c r="F9" s="44">
        <f>8.61*16/12</f>
        <v>11.479999999999999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6">
        <f>0.31*17/12</f>
        <v>0.43916666666666665</v>
      </c>
    </row>
    <row r="10" spans="1:10" ht="15.75" thickBot="1">
      <c r="A10" s="12"/>
      <c r="B10" s="25"/>
      <c r="C10" s="26"/>
      <c r="D10" s="27"/>
      <c r="E10" s="47"/>
      <c r="F10" s="48">
        <f>SUM(F4:F9)</f>
        <v>50.472361690140843</v>
      </c>
      <c r="G10" s="28">
        <f>SUM(G4:G9)</f>
        <v>477.52</v>
      </c>
      <c r="H10" s="28">
        <f t="shared" ref="H10:J10" si="0">SUM(H4:H9)</f>
        <v>13.076666666666664</v>
      </c>
      <c r="I10" s="28">
        <f t="shared" si="0"/>
        <v>10.183999999999999</v>
      </c>
      <c r="J10" s="28">
        <f t="shared" si="0"/>
        <v>79.941666666666663</v>
      </c>
    </row>
    <row r="11" spans="1:10">
      <c r="A11" s="6" t="s">
        <v>28</v>
      </c>
      <c r="B11" s="7"/>
      <c r="C11" s="8">
        <v>25</v>
      </c>
      <c r="D11" s="9" t="s">
        <v>32</v>
      </c>
      <c r="E11" s="41">
        <v>200</v>
      </c>
      <c r="F11" s="42">
        <v>10.55</v>
      </c>
      <c r="G11" s="10">
        <v>136</v>
      </c>
      <c r="H11" s="10">
        <v>0.6</v>
      </c>
      <c r="I11" s="10">
        <v>0</v>
      </c>
      <c r="J11" s="11">
        <v>33</v>
      </c>
    </row>
    <row r="12" spans="1:10">
      <c r="A12" s="24"/>
      <c r="B12" s="18"/>
      <c r="C12" s="14">
        <v>76</v>
      </c>
      <c r="D12" s="15" t="s">
        <v>42</v>
      </c>
      <c r="E12" s="43">
        <v>70</v>
      </c>
      <c r="F12" s="44">
        <v>27.31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.75" thickBot="1">
      <c r="A13" s="33"/>
      <c r="B13" s="19"/>
      <c r="C13" s="20"/>
      <c r="D13" s="21"/>
      <c r="E13" s="45"/>
      <c r="F13" s="46">
        <f>SUM(F11:F12)</f>
        <v>37.86</v>
      </c>
      <c r="G13" s="22">
        <f>SUM(G11:G12)</f>
        <v>393.25</v>
      </c>
      <c r="H13" s="22">
        <f t="shared" ref="H13:J13" si="1">SUM(H11:H12)</f>
        <v>13.672499999999999</v>
      </c>
      <c r="I13" s="22">
        <f t="shared" si="1"/>
        <v>9.0195000000000007</v>
      </c>
      <c r="J13" s="22">
        <f t="shared" si="1"/>
        <v>39.646500000000003</v>
      </c>
    </row>
    <row r="14" spans="1:10" ht="15.75" thickBot="1">
      <c r="A14" s="6" t="s">
        <v>13</v>
      </c>
      <c r="B14" s="7" t="s">
        <v>14</v>
      </c>
      <c r="C14" s="8">
        <v>27</v>
      </c>
      <c r="D14" s="9" t="s">
        <v>38</v>
      </c>
      <c r="E14" s="49" t="s">
        <v>52</v>
      </c>
      <c r="F14" s="42">
        <f>8.99*50/60</f>
        <v>7.4916666666666663</v>
      </c>
      <c r="G14" s="10">
        <f>71.4*45/60</f>
        <v>53.550000000000004</v>
      </c>
      <c r="H14" s="10">
        <f>1.14*45/60</f>
        <v>0.85499999999999998</v>
      </c>
      <c r="I14" s="10">
        <f>5.34*45/60</f>
        <v>4.0049999999999999</v>
      </c>
      <c r="J14" s="11">
        <f>4.62*45/60</f>
        <v>3.4650000000000003</v>
      </c>
    </row>
    <row r="15" spans="1:10" ht="30">
      <c r="A15" s="12"/>
      <c r="B15" s="13" t="s">
        <v>15</v>
      </c>
      <c r="C15" s="14">
        <v>33</v>
      </c>
      <c r="D15" s="99" t="s">
        <v>39</v>
      </c>
      <c r="E15" s="50" t="s">
        <v>44</v>
      </c>
      <c r="F15" s="44">
        <f>6.84*250/250+1.66</f>
        <v>8.5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>
      <c r="A16" s="12"/>
      <c r="B16" s="13" t="s">
        <v>16</v>
      </c>
      <c r="C16" s="14">
        <v>23</v>
      </c>
      <c r="D16" s="15" t="s">
        <v>33</v>
      </c>
      <c r="E16" s="50" t="s">
        <v>51</v>
      </c>
      <c r="F16" s="44">
        <f>34.42*90/90</f>
        <v>34.42</v>
      </c>
      <c r="G16" s="16">
        <f>103*90/90</f>
        <v>103</v>
      </c>
      <c r="H16" s="16">
        <f>12.92*90/90</f>
        <v>12.92</v>
      </c>
      <c r="I16" s="16">
        <f>2.28*9/90</f>
        <v>0.22800000000000001</v>
      </c>
      <c r="J16" s="17">
        <f>8.31*90/90</f>
        <v>8.31</v>
      </c>
    </row>
    <row r="17" spans="1:10" ht="30">
      <c r="A17" s="12"/>
      <c r="B17" s="13"/>
      <c r="C17" s="14">
        <v>15</v>
      </c>
      <c r="D17" s="15" t="s">
        <v>40</v>
      </c>
      <c r="E17" s="50" t="s">
        <v>54</v>
      </c>
      <c r="F17" s="44">
        <f>2.63*20/25</f>
        <v>2.1039999999999996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>
      <c r="A18" s="12"/>
      <c r="B18" s="13" t="s">
        <v>17</v>
      </c>
      <c r="C18" s="14">
        <v>52</v>
      </c>
      <c r="D18" s="15" t="s">
        <v>41</v>
      </c>
      <c r="E18" s="50" t="s">
        <v>43</v>
      </c>
      <c r="F18" s="44">
        <f>5.58*80/80+7.86*70/70</f>
        <v>13.440000000000001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>
      <c r="A19" s="12"/>
      <c r="B19" s="13" t="s">
        <v>29</v>
      </c>
      <c r="C19" s="14">
        <v>35</v>
      </c>
      <c r="D19" s="15" t="s">
        <v>31</v>
      </c>
      <c r="E19" s="50">
        <v>200</v>
      </c>
      <c r="F19" s="44">
        <v>7.04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>
      <c r="A20" s="12"/>
      <c r="B20" s="13" t="s">
        <v>20</v>
      </c>
      <c r="C20" s="14" t="s">
        <v>23</v>
      </c>
      <c r="D20" s="15" t="s">
        <v>30</v>
      </c>
      <c r="E20" s="50" t="s">
        <v>57</v>
      </c>
      <c r="F20" s="44">
        <v>1.55</v>
      </c>
      <c r="G20" s="16">
        <f>62.4*30/30</f>
        <v>62.4</v>
      </c>
      <c r="H20" s="16">
        <f>2.4*30/30</f>
        <v>2.4</v>
      </c>
      <c r="I20" s="16">
        <f>0.45*30/30</f>
        <v>0.45</v>
      </c>
      <c r="J20" s="17">
        <f>11.37*30/30</f>
        <v>11.37</v>
      </c>
    </row>
    <row r="21" spans="1:10">
      <c r="A21" s="12"/>
      <c r="B21" s="29" t="s">
        <v>18</v>
      </c>
      <c r="C21" s="20" t="s">
        <v>23</v>
      </c>
      <c r="D21" s="21" t="s">
        <v>24</v>
      </c>
      <c r="E21" s="51" t="s">
        <v>45</v>
      </c>
      <c r="F21" s="46">
        <f>46.86*0.025</f>
        <v>1.1715</v>
      </c>
      <c r="G21" s="22">
        <f>60*29/30</f>
        <v>58</v>
      </c>
      <c r="H21" s="22">
        <f>1.47*29/30</f>
        <v>1.421</v>
      </c>
      <c r="I21" s="22">
        <f>0.3*29/30</f>
        <v>0.28999999999999998</v>
      </c>
      <c r="J21" s="23">
        <f>13.44*29/30</f>
        <v>12.991999999999999</v>
      </c>
    </row>
    <row r="22" spans="1:10">
      <c r="A22" s="13"/>
      <c r="B22" s="18"/>
      <c r="C22" s="13"/>
      <c r="D22" s="13"/>
      <c r="E22" s="52"/>
      <c r="F22" s="53">
        <f>SUM(F14:F21)</f>
        <v>75.717166666666671</v>
      </c>
      <c r="G22" s="30">
        <f>SUM(G14:G21)</f>
        <v>759.19999999999993</v>
      </c>
      <c r="H22" s="30">
        <f t="shared" ref="H22:J22" si="2">SUM(H14:H21)</f>
        <v>23.795999999999999</v>
      </c>
      <c r="I22" s="30">
        <f t="shared" si="2"/>
        <v>19.722999999999999</v>
      </c>
      <c r="J22" s="30">
        <f t="shared" si="2"/>
        <v>91.547000000000011</v>
      </c>
    </row>
    <row r="23" spans="1:10" ht="15.75" thickBot="1">
      <c r="B23" s="2" t="s">
        <v>47</v>
      </c>
      <c r="E23" s="54"/>
      <c r="F23" s="55"/>
    </row>
    <row r="24" spans="1:10" ht="30.75" thickBot="1">
      <c r="A24" s="3" t="s">
        <v>2</v>
      </c>
      <c r="B24" s="4" t="s">
        <v>3</v>
      </c>
      <c r="C24" s="4" t="s">
        <v>21</v>
      </c>
      <c r="D24" s="4" t="s">
        <v>4</v>
      </c>
      <c r="E24" s="56" t="s">
        <v>22</v>
      </c>
      <c r="F24" s="56" t="s">
        <v>5</v>
      </c>
      <c r="G24" s="34" t="s">
        <v>6</v>
      </c>
      <c r="H24" s="4" t="s">
        <v>7</v>
      </c>
      <c r="I24" s="4" t="s">
        <v>8</v>
      </c>
      <c r="J24" s="5" t="s">
        <v>9</v>
      </c>
    </row>
    <row r="25" spans="1:10" ht="30">
      <c r="A25" s="6" t="s">
        <v>10</v>
      </c>
      <c r="B25" s="7" t="s">
        <v>11</v>
      </c>
      <c r="C25" s="8">
        <v>53</v>
      </c>
      <c r="D25" s="9" t="s">
        <v>35</v>
      </c>
      <c r="E25" s="41">
        <v>200</v>
      </c>
      <c r="F25" s="42">
        <v>11.92</v>
      </c>
      <c r="G25" s="10">
        <v>146</v>
      </c>
      <c r="H25" s="10">
        <v>5.7</v>
      </c>
      <c r="I25" s="10">
        <v>5.28</v>
      </c>
      <c r="J25" s="11">
        <v>18.88</v>
      </c>
    </row>
    <row r="26" spans="1:10">
      <c r="A26" s="12"/>
      <c r="B26" s="13" t="s">
        <v>12</v>
      </c>
      <c r="C26" s="14">
        <v>30</v>
      </c>
      <c r="D26" s="15" t="s">
        <v>36</v>
      </c>
      <c r="E26" s="43">
        <v>200</v>
      </c>
      <c r="F26" s="44">
        <v>3.4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>
      <c r="A27" s="12"/>
      <c r="B27" s="13" t="s">
        <v>19</v>
      </c>
      <c r="C27" s="14" t="s">
        <v>23</v>
      </c>
      <c r="D27" s="15" t="s">
        <v>24</v>
      </c>
      <c r="E27" s="43">
        <v>33</v>
      </c>
      <c r="F27" s="44">
        <f>40.71*0.033</f>
        <v>1.3434300000000001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>
      <c r="A28" s="12"/>
      <c r="B28" s="18"/>
      <c r="C28" s="14" t="s">
        <v>23</v>
      </c>
      <c r="D28" s="15" t="s">
        <v>25</v>
      </c>
      <c r="E28" s="43">
        <v>34</v>
      </c>
      <c r="F28" s="44">
        <v>2.77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>
      <c r="A29" s="12"/>
      <c r="B29" s="19" t="s">
        <v>26</v>
      </c>
      <c r="C29" s="20" t="s">
        <v>23</v>
      </c>
      <c r="D29" s="21" t="s">
        <v>37</v>
      </c>
      <c r="E29" s="45">
        <v>140</v>
      </c>
      <c r="F29" s="46">
        <f>23.88*140/141</f>
        <v>23.71063829787234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>
      <c r="A30" s="24"/>
      <c r="B30" s="18"/>
      <c r="C30" s="14">
        <v>6</v>
      </c>
      <c r="D30" s="15" t="s">
        <v>27</v>
      </c>
      <c r="E30" s="43">
        <v>21</v>
      </c>
      <c r="F30" s="44">
        <f>10.6*22/15</f>
        <v>15.546666666666665</v>
      </c>
      <c r="G30" s="16">
        <f>36</f>
        <v>36</v>
      </c>
      <c r="H30" s="16">
        <f>1.36</f>
        <v>1.36</v>
      </c>
      <c r="I30" s="16">
        <f>2.76</f>
        <v>2.76</v>
      </c>
      <c r="J30" s="16">
        <f>0.31</f>
        <v>0.31</v>
      </c>
    </row>
    <row r="31" spans="1:10" ht="15.75" thickBot="1">
      <c r="A31" s="12"/>
      <c r="B31" s="25"/>
      <c r="C31" s="26"/>
      <c r="D31" s="27"/>
      <c r="E31" s="47"/>
      <c r="F31" s="48">
        <f>SUM(F25:F30)</f>
        <v>58.690734964539004</v>
      </c>
      <c r="G31" s="28">
        <f>SUM(G25:G30)</f>
        <v>499.24</v>
      </c>
      <c r="H31" s="28">
        <f t="shared" ref="H31" si="3">SUM(H25:H30)</f>
        <v>13.670999999999999</v>
      </c>
      <c r="I31" s="28">
        <f t="shared" ref="I31" si="4">SUM(I25:I30)</f>
        <v>9.1374999999999993</v>
      </c>
      <c r="J31" s="28">
        <f t="shared" ref="J31" si="5">SUM(J25:J30)</f>
        <v>87.85</v>
      </c>
    </row>
    <row r="32" spans="1:10">
      <c r="A32" s="6" t="s">
        <v>28</v>
      </c>
      <c r="B32" s="7"/>
      <c r="C32" s="8">
        <v>25</v>
      </c>
      <c r="D32" s="9" t="s">
        <v>32</v>
      </c>
      <c r="E32" s="41">
        <v>200</v>
      </c>
      <c r="F32" s="42">
        <v>10.55</v>
      </c>
      <c r="G32" s="10">
        <v>136</v>
      </c>
      <c r="H32" s="10">
        <v>0.6</v>
      </c>
      <c r="I32" s="10">
        <v>0</v>
      </c>
      <c r="J32" s="11">
        <v>33</v>
      </c>
    </row>
    <row r="33" spans="1:10">
      <c r="A33" s="24"/>
      <c r="B33" s="18"/>
      <c r="C33" s="14">
        <v>76</v>
      </c>
      <c r="D33" s="15" t="s">
        <v>42</v>
      </c>
      <c r="E33" s="43">
        <v>100</v>
      </c>
      <c r="F33" s="44">
        <v>33.46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.75" thickBot="1">
      <c r="A34" s="33"/>
      <c r="B34" s="19"/>
      <c r="C34" s="20"/>
      <c r="D34" s="21"/>
      <c r="E34" s="45"/>
      <c r="F34" s="46">
        <f>SUM(F32:F33)</f>
        <v>44.010000000000005</v>
      </c>
      <c r="G34" s="22">
        <f>SUM(G32:G33)</f>
        <v>442.25</v>
      </c>
      <c r="H34" s="22">
        <f t="shared" ref="H34" si="6">SUM(H32:H33)</f>
        <v>16.162500000000001</v>
      </c>
      <c r="I34" s="22">
        <f t="shared" ref="I34" si="7">SUM(I32:I33)</f>
        <v>10.737500000000001</v>
      </c>
      <c r="J34" s="22">
        <f t="shared" ref="J34" si="8">SUM(J32:J33)</f>
        <v>40.912500000000001</v>
      </c>
    </row>
    <row r="35" spans="1:10">
      <c r="A35" s="6" t="s">
        <v>13</v>
      </c>
      <c r="B35" s="7" t="s">
        <v>14</v>
      </c>
      <c r="C35" s="8">
        <v>27</v>
      </c>
      <c r="D35" s="9" t="s">
        <v>38</v>
      </c>
      <c r="E35" s="49" t="s">
        <v>58</v>
      </c>
      <c r="F35" s="42">
        <f>14.98*80/100</f>
        <v>11.984000000000002</v>
      </c>
      <c r="G35" s="10">
        <f>71.4*70/60</f>
        <v>83.3</v>
      </c>
      <c r="H35" s="10">
        <f>1.14*70/60</f>
        <v>1.3299999999999998</v>
      </c>
      <c r="I35" s="10">
        <f>5.34*70/60</f>
        <v>6.23</v>
      </c>
      <c r="J35" s="11">
        <f>4.62*70/60</f>
        <v>5.3900000000000006</v>
      </c>
    </row>
    <row r="36" spans="1:10" ht="30">
      <c r="A36" s="12"/>
      <c r="B36" s="13" t="s">
        <v>15</v>
      </c>
      <c r="C36" s="14">
        <v>33</v>
      </c>
      <c r="D36" s="15" t="s">
        <v>39</v>
      </c>
      <c r="E36" s="50" t="s">
        <v>44</v>
      </c>
      <c r="F36" s="44">
        <f>6.84*250/250+1.66</f>
        <v>8.5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>
      <c r="A37" s="12"/>
      <c r="B37" s="13" t="s">
        <v>16</v>
      </c>
      <c r="C37" s="14">
        <v>23</v>
      </c>
      <c r="D37" s="15" t="s">
        <v>33</v>
      </c>
      <c r="E37" s="50" t="s">
        <v>55</v>
      </c>
      <c r="F37" s="44">
        <f>46.22*100/120</f>
        <v>38.516666666666666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ht="30">
      <c r="A38" s="12"/>
      <c r="B38" s="13"/>
      <c r="C38" s="14">
        <v>15</v>
      </c>
      <c r="D38" s="15" t="s">
        <v>40</v>
      </c>
      <c r="E38" s="50" t="s">
        <v>45</v>
      </c>
      <c r="F38" s="44">
        <f>2.63*25/25</f>
        <v>2.63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>
      <c r="A39" s="12"/>
      <c r="B39" s="13" t="s">
        <v>17</v>
      </c>
      <c r="C39" s="14">
        <v>52</v>
      </c>
      <c r="D39" s="15" t="s">
        <v>41</v>
      </c>
      <c r="E39" s="50" t="s">
        <v>53</v>
      </c>
      <c r="F39" s="44">
        <f>6.88*100/96+9.41*80/84</f>
        <v>16.12857142857143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>
      <c r="A40" s="12"/>
      <c r="B40" s="13" t="s">
        <v>29</v>
      </c>
      <c r="C40" s="14">
        <v>35</v>
      </c>
      <c r="D40" s="15" t="s">
        <v>31</v>
      </c>
      <c r="E40" s="50">
        <v>200</v>
      </c>
      <c r="F40" s="44">
        <v>7.04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>
      <c r="A41" s="12"/>
      <c r="B41" s="13" t="s">
        <v>20</v>
      </c>
      <c r="C41" s="14" t="s">
        <v>23</v>
      </c>
      <c r="D41" s="15" t="s">
        <v>30</v>
      </c>
      <c r="E41" s="50" t="s">
        <v>59</v>
      </c>
      <c r="F41" s="44">
        <v>1.81</v>
      </c>
      <c r="G41" s="16">
        <f>62.4*35/30</f>
        <v>72.8</v>
      </c>
      <c r="H41" s="16">
        <f>2.4*35/30</f>
        <v>2.8</v>
      </c>
      <c r="I41" s="16">
        <f>0.45*35/30</f>
        <v>0.52500000000000002</v>
      </c>
      <c r="J41" s="17">
        <f>11.37*35/30</f>
        <v>13.264999999999999</v>
      </c>
    </row>
    <row r="42" spans="1:10">
      <c r="A42" s="12"/>
      <c r="B42" s="29" t="s">
        <v>18</v>
      </c>
      <c r="C42" s="20" t="s">
        <v>23</v>
      </c>
      <c r="D42" s="21" t="s">
        <v>24</v>
      </c>
      <c r="E42" s="51" t="s">
        <v>52</v>
      </c>
      <c r="F42" s="46">
        <f>46.86*0.03</f>
        <v>1.4057999999999999</v>
      </c>
      <c r="G42" s="22">
        <f>60*34/30</f>
        <v>68</v>
      </c>
      <c r="H42" s="22">
        <f>1.47*34/30</f>
        <v>1.6659999999999999</v>
      </c>
      <c r="I42" s="22">
        <f>0.3*34/30</f>
        <v>0.33999999999999997</v>
      </c>
      <c r="J42" s="23">
        <f>13.44*34/30</f>
        <v>15.231999999999999</v>
      </c>
    </row>
    <row r="43" spans="1:10">
      <c r="A43" s="13"/>
      <c r="B43" s="18"/>
      <c r="C43" s="13"/>
      <c r="D43" s="13"/>
      <c r="E43" s="52"/>
      <c r="F43" s="53">
        <f>SUM(F35:F42)</f>
        <v>88.015038095238111</v>
      </c>
      <c r="G43" s="30">
        <f>SUM(G35:G42)</f>
        <v>845.22499999999991</v>
      </c>
      <c r="H43" s="30">
        <f t="shared" ref="H43" si="9">SUM(H35:H42)</f>
        <v>26.800999999999998</v>
      </c>
      <c r="I43" s="30">
        <f t="shared" ref="I43" si="10">SUM(I35:I42)</f>
        <v>25.309000000000001</v>
      </c>
      <c r="J43" s="30">
        <f t="shared" ref="J43" si="11">SUM(J35:J42)</f>
        <v>101.45566666666667</v>
      </c>
    </row>
    <row r="45" spans="1:10">
      <c r="A45" s="55" t="s">
        <v>48</v>
      </c>
    </row>
    <row r="47" spans="1:10">
      <c r="A47" s="55" t="s">
        <v>49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3 F34 F10 F17:F18 F15 F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I9" sqref="I9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7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20" t="s">
        <v>60</v>
      </c>
      <c r="C1" s="121"/>
      <c r="D1" s="122"/>
      <c r="E1" s="58" t="s">
        <v>46</v>
      </c>
      <c r="F1" s="59"/>
      <c r="H1" s="57" t="s">
        <v>1</v>
      </c>
      <c r="I1" s="123" t="s">
        <v>61</v>
      </c>
      <c r="J1" s="123"/>
    </row>
    <row r="2" spans="1:10" ht="15.75" thickBot="1">
      <c r="B2" s="60" t="s">
        <v>50</v>
      </c>
    </row>
    <row r="3" spans="1:10" s="66" customFormat="1" ht="30.75" thickBot="1">
      <c r="A3" s="61" t="s">
        <v>2</v>
      </c>
      <c r="B3" s="62" t="s">
        <v>3</v>
      </c>
      <c r="C3" s="62" t="s">
        <v>21</v>
      </c>
      <c r="D3" s="62" t="s">
        <v>4</v>
      </c>
      <c r="E3" s="63" t="s">
        <v>22</v>
      </c>
      <c r="F3" s="63" t="s">
        <v>5</v>
      </c>
      <c r="G3" s="64" t="s">
        <v>6</v>
      </c>
      <c r="H3" s="62" t="s">
        <v>7</v>
      </c>
      <c r="I3" s="62" t="s">
        <v>8</v>
      </c>
      <c r="J3" s="65" t="s">
        <v>9</v>
      </c>
    </row>
    <row r="4" spans="1:10" ht="30">
      <c r="A4" s="67"/>
      <c r="B4" s="68" t="s">
        <v>11</v>
      </c>
      <c r="C4" s="69">
        <v>53</v>
      </c>
      <c r="D4" s="70" t="s">
        <v>35</v>
      </c>
      <c r="E4" s="108">
        <v>200</v>
      </c>
      <c r="F4" s="102">
        <v>16.68</v>
      </c>
      <c r="G4" s="71">
        <v>146</v>
      </c>
      <c r="H4" s="71">
        <v>5.7</v>
      </c>
      <c r="I4" s="71">
        <v>5.28</v>
      </c>
      <c r="J4" s="72">
        <v>18.88</v>
      </c>
    </row>
    <row r="5" spans="1:10" ht="15.75">
      <c r="A5" s="73"/>
      <c r="B5" s="74" t="s">
        <v>12</v>
      </c>
      <c r="C5" s="75">
        <v>30</v>
      </c>
      <c r="D5" s="76" t="s">
        <v>36</v>
      </c>
      <c r="E5" s="109">
        <v>200</v>
      </c>
      <c r="F5" s="103">
        <v>4.76</v>
      </c>
      <c r="G5" s="77">
        <v>43</v>
      </c>
      <c r="H5" s="77">
        <v>0.06</v>
      </c>
      <c r="I5" s="77">
        <v>0.01</v>
      </c>
      <c r="J5" s="78">
        <v>10.220000000000001</v>
      </c>
    </row>
    <row r="6" spans="1:10" ht="15.75">
      <c r="A6" s="73"/>
      <c r="B6" s="74" t="s">
        <v>19</v>
      </c>
      <c r="C6" s="75" t="s">
        <v>23</v>
      </c>
      <c r="D6" s="76" t="s">
        <v>24</v>
      </c>
      <c r="E6" s="109">
        <v>32</v>
      </c>
      <c r="F6" s="103">
        <f>48.86*0.032</f>
        <v>1.56352</v>
      </c>
      <c r="G6" s="77">
        <f>40*29/20</f>
        <v>58</v>
      </c>
      <c r="H6" s="77">
        <f>0.98*29/20</f>
        <v>1.4209999999999998</v>
      </c>
      <c r="I6" s="77">
        <f>0.2*29/20</f>
        <v>0.29000000000000004</v>
      </c>
      <c r="J6" s="78">
        <f>8.95*29/20</f>
        <v>12.977499999999997</v>
      </c>
    </row>
    <row r="7" spans="1:10" ht="15.75">
      <c r="A7" s="73"/>
      <c r="B7" s="79"/>
      <c r="C7" s="75" t="s">
        <v>23</v>
      </c>
      <c r="D7" s="76" t="s">
        <v>25</v>
      </c>
      <c r="E7" s="109">
        <v>33</v>
      </c>
      <c r="F7" s="103">
        <v>3.04</v>
      </c>
      <c r="G7" s="77">
        <f>41.6*30/20</f>
        <v>62.4</v>
      </c>
      <c r="H7" s="77">
        <f>1.6*30/20</f>
        <v>2.4</v>
      </c>
      <c r="I7" s="77">
        <f>0.03*30/20</f>
        <v>4.4999999999999998E-2</v>
      </c>
      <c r="J7" s="78">
        <f>8.02*30/20</f>
        <v>12.03</v>
      </c>
    </row>
    <row r="8" spans="1:10" ht="15.75">
      <c r="A8" s="73"/>
      <c r="B8" s="80" t="s">
        <v>26</v>
      </c>
      <c r="C8" s="81" t="s">
        <v>23</v>
      </c>
      <c r="D8" s="82" t="s">
        <v>37</v>
      </c>
      <c r="E8" s="110">
        <v>110</v>
      </c>
      <c r="F8" s="104">
        <f>168*0.11*1.4</f>
        <v>25.872</v>
      </c>
      <c r="G8" s="83">
        <f>96*1.39</f>
        <v>133.44</v>
      </c>
      <c r="H8" s="83">
        <f>1.5*1.39</f>
        <v>2.085</v>
      </c>
      <c r="I8" s="83">
        <f>0.5*1.39</f>
        <v>0.69499999999999995</v>
      </c>
      <c r="J8" s="84">
        <f>21*1.39</f>
        <v>29.189999999999998</v>
      </c>
    </row>
    <row r="9" spans="1:10" ht="15.75">
      <c r="A9" s="85"/>
      <c r="B9" s="79"/>
      <c r="C9" s="75">
        <v>6</v>
      </c>
      <c r="D9" s="76" t="s">
        <v>27</v>
      </c>
      <c r="E9" s="109">
        <v>16</v>
      </c>
      <c r="F9" s="103">
        <f>12.06*16/12</f>
        <v>16.080000000000002</v>
      </c>
      <c r="G9" s="77">
        <f>36</f>
        <v>36</v>
      </c>
      <c r="H9" s="77">
        <f>1.36</f>
        <v>1.36</v>
      </c>
      <c r="I9" s="77">
        <f>2.76</f>
        <v>2.76</v>
      </c>
      <c r="J9" s="77">
        <f>0.31</f>
        <v>0.31</v>
      </c>
    </row>
    <row r="10" spans="1:10" ht="16.5" thickBot="1">
      <c r="A10" s="73"/>
      <c r="B10" s="86"/>
      <c r="C10" s="87"/>
      <c r="D10" s="88"/>
      <c r="E10" s="111"/>
      <c r="F10" s="105">
        <f>SUM(F4:F9)</f>
        <v>67.995519999999999</v>
      </c>
      <c r="G10" s="89">
        <f>SUM(G4:G9)</f>
        <v>478.84</v>
      </c>
      <c r="H10" s="89">
        <f t="shared" ref="H10:J10" si="0">SUM(H4:H9)</f>
        <v>13.026</v>
      </c>
      <c r="I10" s="89">
        <f t="shared" si="0"/>
        <v>9.08</v>
      </c>
      <c r="J10" s="89">
        <f t="shared" si="0"/>
        <v>83.607500000000002</v>
      </c>
    </row>
    <row r="11" spans="1:10" ht="15.75">
      <c r="A11" s="67"/>
      <c r="B11" s="68" t="s">
        <v>16</v>
      </c>
      <c r="C11" s="69">
        <v>23</v>
      </c>
      <c r="D11" s="70" t="s">
        <v>33</v>
      </c>
      <c r="E11" s="112" t="s">
        <v>51</v>
      </c>
      <c r="F11" s="102">
        <f>47.98*90/90</f>
        <v>47.98</v>
      </c>
      <c r="G11" s="71">
        <f>103*80/90</f>
        <v>91.555555555555557</v>
      </c>
      <c r="H11" s="71">
        <f>12.92*80/90</f>
        <v>11.484444444444444</v>
      </c>
      <c r="I11" s="71">
        <f>2.28*80/90</f>
        <v>2.0266666666666664</v>
      </c>
      <c r="J11" s="72">
        <f>8.31*80/90</f>
        <v>7.3866666666666676</v>
      </c>
    </row>
    <row r="12" spans="1:10" ht="30">
      <c r="A12" s="73"/>
      <c r="B12" s="74"/>
      <c r="C12" s="75">
        <v>15</v>
      </c>
      <c r="D12" s="76" t="s">
        <v>40</v>
      </c>
      <c r="E12" s="113" t="s">
        <v>45</v>
      </c>
      <c r="F12" s="103">
        <f>3.68*20/25</f>
        <v>2.9440000000000004</v>
      </c>
      <c r="G12" s="77">
        <f>21.25*20/25</f>
        <v>17</v>
      </c>
      <c r="H12" s="77">
        <f>0.45*20/25</f>
        <v>0.36</v>
      </c>
      <c r="I12" s="77">
        <f>1.31*20/25</f>
        <v>1.048</v>
      </c>
      <c r="J12" s="78">
        <f>1.92*20/25</f>
        <v>1.536</v>
      </c>
    </row>
    <row r="13" spans="1:10" ht="15.75">
      <c r="A13" s="73"/>
      <c r="B13" s="74" t="s">
        <v>17</v>
      </c>
      <c r="C13" s="75">
        <v>52</v>
      </c>
      <c r="D13" s="76" t="s">
        <v>41</v>
      </c>
      <c r="E13" s="113" t="s">
        <v>43</v>
      </c>
      <c r="F13" s="103">
        <f>7.81*80/80+11*70/70</f>
        <v>18.809999999999999</v>
      </c>
      <c r="G13" s="77">
        <f>183.25</f>
        <v>183.25</v>
      </c>
      <c r="H13" s="77">
        <f>3.35</f>
        <v>3.35</v>
      </c>
      <c r="I13" s="77">
        <f>6.98</f>
        <v>6.98</v>
      </c>
      <c r="J13" s="78">
        <f>22.19</f>
        <v>22.19</v>
      </c>
    </row>
    <row r="14" spans="1:10" ht="15.75">
      <c r="A14" s="73"/>
      <c r="B14" s="74" t="s">
        <v>29</v>
      </c>
      <c r="C14" s="75">
        <v>30</v>
      </c>
      <c r="D14" s="76" t="s">
        <v>36</v>
      </c>
      <c r="E14" s="109">
        <v>200</v>
      </c>
      <c r="F14" s="103">
        <v>4.76</v>
      </c>
      <c r="G14" s="77">
        <v>43</v>
      </c>
      <c r="H14" s="77">
        <v>0.06</v>
      </c>
      <c r="I14" s="77">
        <v>0.01</v>
      </c>
      <c r="J14" s="78">
        <v>10.220000000000001</v>
      </c>
    </row>
    <row r="15" spans="1:10" ht="15.75">
      <c r="A15" s="73"/>
      <c r="B15" s="74" t="s">
        <v>20</v>
      </c>
      <c r="C15" s="75" t="s">
        <v>23</v>
      </c>
      <c r="D15" s="76" t="s">
        <v>30</v>
      </c>
      <c r="E15" s="113" t="s">
        <v>56</v>
      </c>
      <c r="F15" s="103">
        <f>72*0.029</f>
        <v>2.0880000000000001</v>
      </c>
      <c r="G15" s="77">
        <f>62.4*28/30</f>
        <v>58.24</v>
      </c>
      <c r="H15" s="77">
        <f>2.4*28/30</f>
        <v>2.2400000000000002</v>
      </c>
      <c r="I15" s="77">
        <f>0.45*28/30</f>
        <v>0.42</v>
      </c>
      <c r="J15" s="78">
        <f>11.37*28/30</f>
        <v>10.611999999999998</v>
      </c>
    </row>
    <row r="16" spans="1:10" ht="15.75">
      <c r="A16" s="73"/>
      <c r="B16" s="90" t="s">
        <v>18</v>
      </c>
      <c r="C16" s="81" t="s">
        <v>23</v>
      </c>
      <c r="D16" s="82" t="s">
        <v>24</v>
      </c>
      <c r="E16" s="114" t="s">
        <v>56</v>
      </c>
      <c r="F16" s="104">
        <f>48.86*0.029</f>
        <v>1.4169400000000001</v>
      </c>
      <c r="G16" s="83">
        <f>60*28/30</f>
        <v>56</v>
      </c>
      <c r="H16" s="83">
        <f>1.47*28/30</f>
        <v>1.3719999999999999</v>
      </c>
      <c r="I16" s="83">
        <f>0.3*28/30</f>
        <v>0.28000000000000003</v>
      </c>
      <c r="J16" s="84">
        <f>13.44*28/30</f>
        <v>12.544</v>
      </c>
    </row>
    <row r="17" spans="1:10" ht="16.5" thickBot="1">
      <c r="A17" s="91"/>
      <c r="B17" s="92"/>
      <c r="C17" s="93"/>
      <c r="D17" s="93"/>
      <c r="E17" s="115"/>
      <c r="F17" s="106">
        <f>SUM(F11:F16)</f>
        <v>77.99893999999999</v>
      </c>
      <c r="G17" s="95">
        <f>SUM(G11:G16)</f>
        <v>449.04555555555555</v>
      </c>
      <c r="H17" s="95">
        <f>SUM(H11:H16)</f>
        <v>18.866444444444443</v>
      </c>
      <c r="I17" s="95">
        <f>SUM(I11:I16)</f>
        <v>10.764666666666665</v>
      </c>
      <c r="J17" s="96">
        <f>SUM(J11:J16)</f>
        <v>64.48866666666666</v>
      </c>
    </row>
    <row r="18" spans="1:10" ht="30">
      <c r="A18" s="67"/>
      <c r="B18" s="97" t="s">
        <v>15</v>
      </c>
      <c r="C18" s="98">
        <v>33</v>
      </c>
      <c r="D18" s="99" t="s">
        <v>39</v>
      </c>
      <c r="E18" s="116" t="s">
        <v>44</v>
      </c>
      <c r="F18" s="107">
        <f>9.57*250/250+2.32</f>
        <v>11.89</v>
      </c>
      <c r="G18" s="100">
        <f>180.75</f>
        <v>180.75</v>
      </c>
      <c r="H18" s="100">
        <f>1.72</f>
        <v>1.72</v>
      </c>
      <c r="I18" s="100">
        <f>6.18</f>
        <v>6.18</v>
      </c>
      <c r="J18" s="101">
        <f>11.66</f>
        <v>11.66</v>
      </c>
    </row>
    <row r="19" spans="1:10" ht="15.75">
      <c r="A19" s="73"/>
      <c r="B19" s="74" t="s">
        <v>16</v>
      </c>
      <c r="C19" s="75">
        <v>23</v>
      </c>
      <c r="D19" s="76" t="s">
        <v>33</v>
      </c>
      <c r="E19" s="113" t="s">
        <v>51</v>
      </c>
      <c r="F19" s="103">
        <v>47.98</v>
      </c>
      <c r="G19" s="77">
        <f>103*90/90</f>
        <v>103</v>
      </c>
      <c r="H19" s="77">
        <f>12.92*90/90</f>
        <v>12.92</v>
      </c>
      <c r="I19" s="77">
        <f>2.28*90/90</f>
        <v>2.2799999999999998</v>
      </c>
      <c r="J19" s="78">
        <f>8.31*90/90</f>
        <v>8.31</v>
      </c>
    </row>
    <row r="20" spans="1:10" ht="30">
      <c r="A20" s="73"/>
      <c r="B20" s="74"/>
      <c r="C20" s="75">
        <v>15</v>
      </c>
      <c r="D20" s="76" t="s">
        <v>40</v>
      </c>
      <c r="E20" s="113" t="s">
        <v>54</v>
      </c>
      <c r="F20" s="103">
        <f>3.68*20/25</f>
        <v>2.9440000000000004</v>
      </c>
      <c r="G20" s="77">
        <f>21.25*20/25</f>
        <v>17</v>
      </c>
      <c r="H20" s="77">
        <f>0.45*20/25</f>
        <v>0.36</v>
      </c>
      <c r="I20" s="77">
        <f>1.31*20/25</f>
        <v>1.048</v>
      </c>
      <c r="J20" s="78">
        <f>1.92*20/25</f>
        <v>1.536</v>
      </c>
    </row>
    <row r="21" spans="1:10" ht="15.75">
      <c r="A21" s="73"/>
      <c r="B21" s="74" t="s">
        <v>17</v>
      </c>
      <c r="C21" s="75">
        <v>52</v>
      </c>
      <c r="D21" s="76" t="s">
        <v>41</v>
      </c>
      <c r="E21" s="113" t="s">
        <v>43</v>
      </c>
      <c r="F21" s="103">
        <f>7.81*80/80+11*70/70</f>
        <v>18.809999999999999</v>
      </c>
      <c r="G21" s="77">
        <f>183.25</f>
        <v>183.25</v>
      </c>
      <c r="H21" s="77">
        <f>3.35</f>
        <v>3.35</v>
      </c>
      <c r="I21" s="77">
        <f>6.98</f>
        <v>6.98</v>
      </c>
      <c r="J21" s="78">
        <f>22.19</f>
        <v>22.19</v>
      </c>
    </row>
    <row r="22" spans="1:10" ht="15.75">
      <c r="A22" s="73"/>
      <c r="B22" s="74" t="s">
        <v>29</v>
      </c>
      <c r="C22" s="75">
        <v>30</v>
      </c>
      <c r="D22" s="76" t="s">
        <v>36</v>
      </c>
      <c r="E22" s="109">
        <v>200</v>
      </c>
      <c r="F22" s="103">
        <v>4.76</v>
      </c>
      <c r="G22" s="77">
        <v>43</v>
      </c>
      <c r="H22" s="77">
        <v>0.06</v>
      </c>
      <c r="I22" s="77">
        <v>0.01</v>
      </c>
      <c r="J22" s="78">
        <v>10.220000000000001</v>
      </c>
    </row>
    <row r="23" spans="1:10" ht="15.75">
      <c r="A23" s="73"/>
      <c r="B23" s="74" t="s">
        <v>20</v>
      </c>
      <c r="C23" s="75" t="s">
        <v>23</v>
      </c>
      <c r="D23" s="76" t="s">
        <v>30</v>
      </c>
      <c r="E23" s="113" t="s">
        <v>52</v>
      </c>
      <c r="F23" s="103">
        <f>72*0.03</f>
        <v>2.16</v>
      </c>
      <c r="G23" s="77">
        <f>62.4*32/30</f>
        <v>66.56</v>
      </c>
      <c r="H23" s="77">
        <f>2.4*32/30</f>
        <v>2.56</v>
      </c>
      <c r="I23" s="77">
        <f>0.45*32/30</f>
        <v>0.48000000000000004</v>
      </c>
      <c r="J23" s="78">
        <f>11.37*32/30</f>
        <v>12.127999999999998</v>
      </c>
    </row>
    <row r="24" spans="1:10" ht="15.75">
      <c r="A24" s="73"/>
      <c r="B24" s="90" t="s">
        <v>18</v>
      </c>
      <c r="C24" s="81" t="s">
        <v>23</v>
      </c>
      <c r="D24" s="82" t="s">
        <v>24</v>
      </c>
      <c r="E24" s="114" t="s">
        <v>52</v>
      </c>
      <c r="F24" s="104">
        <v>1.46</v>
      </c>
      <c r="G24" s="83">
        <f>60*31/30</f>
        <v>62</v>
      </c>
      <c r="H24" s="83">
        <f>1.47*31/30</f>
        <v>1.5189999999999999</v>
      </c>
      <c r="I24" s="83">
        <f>0.3*31/30</f>
        <v>0.30999999999999994</v>
      </c>
      <c r="J24" s="84">
        <f>13.44*31/30</f>
        <v>13.888</v>
      </c>
    </row>
    <row r="25" spans="1:10" ht="16.5" thickBot="1">
      <c r="A25" s="91"/>
      <c r="B25" s="92"/>
      <c r="C25" s="93"/>
      <c r="D25" s="93"/>
      <c r="E25" s="94"/>
      <c r="F25" s="106">
        <f>SUM(F18:F24)</f>
        <v>90.003999999999991</v>
      </c>
      <c r="G25" s="95">
        <f>SUM(G19:G24)</f>
        <v>474.81</v>
      </c>
      <c r="H25" s="95">
        <f>SUM(H19:H24)</f>
        <v>20.768999999999995</v>
      </c>
      <c r="I25" s="95">
        <f>SUM(I19:I24)</f>
        <v>11.108000000000001</v>
      </c>
      <c r="J25" s="96">
        <f>SUM(J19:J24)</f>
        <v>68.272000000000006</v>
      </c>
    </row>
    <row r="26" spans="1:10" s="1" customFormat="1">
      <c r="E26" s="32"/>
    </row>
    <row r="27" spans="1:10" s="1" customFormat="1">
      <c r="A27" s="55" t="s">
        <v>48</v>
      </c>
      <c r="E27" s="32"/>
    </row>
    <row r="28" spans="1:10" s="1" customFormat="1">
      <c r="E28" s="32"/>
    </row>
    <row r="29" spans="1:10" s="1" customFormat="1">
      <c r="A29" s="55" t="s">
        <v>49</v>
      </c>
      <c r="E29" s="32"/>
    </row>
    <row r="30" spans="1:10" s="1" customFormat="1">
      <c r="E30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8 G13 G8:J10 H13:J13 G18:J18 G11:J11 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2022-01-10T01:05:30Z</cp:lastPrinted>
  <dcterms:created xsi:type="dcterms:W3CDTF">2015-06-05T18:19:34Z</dcterms:created>
  <dcterms:modified xsi:type="dcterms:W3CDTF">2022-01-10T01:06:23Z</dcterms:modified>
</cp:coreProperties>
</file>