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19440" windowHeight="12570" activeTab="1"/>
  </bookViews>
  <sheets>
    <sheet name="бесплатно" sheetId="1" r:id="rId1"/>
    <sheet name="платно" sheetId="2" r:id="rId2"/>
  </sheets>
  <definedNames>
    <definedName name="_xlnm.Print_Area" localSheetId="0">бесплатно!$A$1:$J$47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2"/>
  <c r="F25"/>
  <c r="F21"/>
  <c r="F22"/>
  <c r="F19"/>
  <c r="F44" i="1"/>
  <c r="F37"/>
  <c r="F38"/>
  <c r="F21"/>
  <c r="F15"/>
  <c r="F16"/>
  <c r="F20" i="2"/>
  <c r="F17"/>
  <c r="F14"/>
  <c r="F12"/>
  <c r="F9"/>
  <c r="F6"/>
  <c r="F4"/>
  <c r="F41" i="1"/>
  <c r="F39"/>
  <c r="F32"/>
  <c r="F29"/>
  <c r="F26"/>
  <c r="F17"/>
  <c r="F9"/>
  <c r="F6"/>
  <c r="F4"/>
  <c r="J18" i="2"/>
  <c r="I18"/>
  <c r="H18"/>
  <c r="J26"/>
  <c r="I26"/>
  <c r="H26"/>
  <c r="G26"/>
  <c r="G18"/>
  <c r="G33" i="1"/>
  <c r="F28"/>
  <c r="G11"/>
  <c r="J22" i="2"/>
  <c r="I22"/>
  <c r="H22"/>
  <c r="G22"/>
  <c r="F18" l="1"/>
  <c r="F11"/>
  <c r="F11" i="1"/>
  <c r="J25" i="2"/>
  <c r="J24"/>
  <c r="I25"/>
  <c r="I24"/>
  <c r="H25"/>
  <c r="H24"/>
  <c r="G25"/>
  <c r="G24"/>
  <c r="J21"/>
  <c r="I21"/>
  <c r="H21"/>
  <c r="G21"/>
  <c r="J20"/>
  <c r="I20"/>
  <c r="H20"/>
  <c r="G20"/>
  <c r="J17"/>
  <c r="I17"/>
  <c r="H17"/>
  <c r="G17"/>
  <c r="J16"/>
  <c r="I16"/>
  <c r="H16"/>
  <c r="G16"/>
  <c r="J14"/>
  <c r="I14"/>
  <c r="H14"/>
  <c r="G14"/>
  <c r="J12"/>
  <c r="I12"/>
  <c r="H12"/>
  <c r="G12"/>
  <c r="J10"/>
  <c r="J9"/>
  <c r="I10"/>
  <c r="I9"/>
  <c r="H10"/>
  <c r="H9"/>
  <c r="G10"/>
  <c r="G9"/>
  <c r="J7"/>
  <c r="I7"/>
  <c r="H7"/>
  <c r="G7"/>
  <c r="J6"/>
  <c r="I6"/>
  <c r="H6"/>
  <c r="G6"/>
  <c r="J44" i="1"/>
  <c r="I44"/>
  <c r="H44"/>
  <c r="G44"/>
  <c r="J43"/>
  <c r="I43"/>
  <c r="H43"/>
  <c r="G43"/>
  <c r="J39"/>
  <c r="I39"/>
  <c r="H39"/>
  <c r="G39"/>
  <c r="J37"/>
  <c r="J45" s="1"/>
  <c r="I37"/>
  <c r="H37"/>
  <c r="G37"/>
  <c r="J15"/>
  <c r="I15"/>
  <c r="H15"/>
  <c r="G15"/>
  <c r="F36"/>
  <c r="J35"/>
  <c r="J36" s="1"/>
  <c r="I35"/>
  <c r="I36" s="1"/>
  <c r="H35"/>
  <c r="H36" s="1"/>
  <c r="G35"/>
  <c r="G36" s="1"/>
  <c r="J32"/>
  <c r="J31"/>
  <c r="I32"/>
  <c r="I31"/>
  <c r="H32"/>
  <c r="H31"/>
  <c r="G32"/>
  <c r="G31"/>
  <c r="J28"/>
  <c r="I28"/>
  <c r="H28"/>
  <c r="G28"/>
  <c r="J29"/>
  <c r="I29"/>
  <c r="H29"/>
  <c r="G29"/>
  <c r="J22"/>
  <c r="J21"/>
  <c r="I22"/>
  <c r="I21"/>
  <c r="H22"/>
  <c r="H21"/>
  <c r="G22"/>
  <c r="G21"/>
  <c r="J17"/>
  <c r="I17"/>
  <c r="H17"/>
  <c r="G17"/>
  <c r="J13"/>
  <c r="I13"/>
  <c r="H13"/>
  <c r="G13"/>
  <c r="J10"/>
  <c r="I10"/>
  <c r="H10"/>
  <c r="G10"/>
  <c r="J9"/>
  <c r="I9"/>
  <c r="H9"/>
  <c r="G9"/>
  <c r="J7"/>
  <c r="I7"/>
  <c r="H7"/>
  <c r="G7"/>
  <c r="J6"/>
  <c r="I6"/>
  <c r="H6"/>
  <c r="G6"/>
  <c r="I33" l="1"/>
  <c r="J33"/>
  <c r="J11" i="2"/>
  <c r="G11"/>
  <c r="I11"/>
  <c r="H11"/>
  <c r="H45" i="1"/>
  <c r="G45"/>
  <c r="I45"/>
  <c r="F45"/>
  <c r="F33"/>
  <c r="H33"/>
  <c r="F26" i="2"/>
  <c r="F14" i="1"/>
  <c r="F23" l="1"/>
  <c r="H11" l="1"/>
  <c r="G14" l="1"/>
  <c r="J11"/>
  <c r="G23" l="1"/>
  <c r="I11"/>
  <c r="J23"/>
  <c r="I23"/>
  <c r="H23"/>
  <c r="J14"/>
  <c r="I14"/>
  <c r="H14"/>
</calcChain>
</file>

<file path=xl/sharedStrings.xml><?xml version="1.0" encoding="utf-8"?>
<sst xmlns="http://schemas.openxmlformats.org/spreadsheetml/2006/main" count="195" uniqueCount="73">
  <si>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</si>
  <si>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</si>
  <si>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</si>
  <si>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</si>
  <si>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</si>
  <si>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</si>
  <si>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</si>
  <si>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</si>
  <si>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</si>
  <si>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</si>
  <si>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</si>
  <si>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</si>
  <si>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</si>
  <si>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</si>
  <si>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</si>
  <si>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</si>
  <si>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</si>
  <si>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</si>
  <si>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</si>
  <si>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</si>
  <si>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</si>
  <si>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</si>
  <si>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</si>
  <si>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</si>
  <si>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</si>
  <si>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</si>
  <si>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</si>
  <si>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</si>
  <si>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</si>
  <si>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Зав.производством _________________________________</t>
  </si>
  <si>
    <t>Бухгалтер калькулятор _______________________________</t>
  </si>
  <si>
    <t>За наличный расчет</t>
  </si>
  <si>
    <t>Масло сливочное</t>
  </si>
  <si>
    <t>добавки</t>
  </si>
  <si>
    <t>200</t>
  </si>
  <si>
    <t xml:space="preserve"> </t>
  </si>
  <si>
    <t>Сыр (порциями)</t>
  </si>
  <si>
    <t>Батон</t>
  </si>
  <si>
    <t>Чай с лимоном</t>
  </si>
  <si>
    <t>Зав.производством __________________________________</t>
  </si>
  <si>
    <t>Суп молочный с рисом</t>
  </si>
  <si>
    <t>Яйцо отварное</t>
  </si>
  <si>
    <t>250</t>
  </si>
  <si>
    <t>Чай с молоком сгущенным</t>
  </si>
  <si>
    <t>Лепешка с сыром</t>
  </si>
  <si>
    <t>Суп с рыбными консервами</t>
  </si>
  <si>
    <t>90</t>
  </si>
  <si>
    <t>гарнир</t>
  </si>
  <si>
    <t>Каша гречневая рассыпчатая</t>
  </si>
  <si>
    <t>150</t>
  </si>
  <si>
    <t>добавка</t>
  </si>
  <si>
    <t>Соус сметанный</t>
  </si>
  <si>
    <t>20</t>
  </si>
  <si>
    <t>Компот их сухофруктов</t>
  </si>
  <si>
    <t>180</t>
  </si>
  <si>
    <t>Котлеты рубленый из птицы</t>
  </si>
  <si>
    <t>140</t>
  </si>
  <si>
    <t>25</t>
  </si>
  <si>
    <t>190/10</t>
  </si>
  <si>
    <t>Котлеты рубленые из мяса птицы</t>
  </si>
  <si>
    <t>день 9</t>
  </si>
  <si>
    <t>Икра свекольная</t>
  </si>
  <si>
    <t>40</t>
  </si>
  <si>
    <t>80</t>
  </si>
  <si>
    <t>37</t>
  </si>
  <si>
    <t>28</t>
  </si>
  <si>
    <t>27</t>
  </si>
  <si>
    <t>38</t>
  </si>
  <si>
    <t>70</t>
  </si>
  <si>
    <t>39</t>
  </si>
  <si>
    <t>15</t>
  </si>
  <si>
    <t>24</t>
  </si>
  <si>
    <t>МБОУ Элитовская СОШ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</si>
</sst>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0" fontId="0" fillId="0" borderId="14" xfId="0" applyFill="1" applyBorder="1"/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3" fillId="0" borderId="0" xfId="0" applyFont="1" applyFill="1" applyAlignment="1">
      <alignment vertical="center"/>
    </xf>
    <xf numFmtId="0" fontId="3" fillId="0" borderId="5" xfId="0" applyFont="1" applyFill="1" applyBorder="1"/>
    <xf numFmtId="0" fontId="3" fillId="0" borderId="8" xfId="0" applyFont="1" applyFill="1" applyBorder="1"/>
    <xf numFmtId="0" fontId="3" fillId="0" borderId="14" xfId="0" applyFont="1" applyFill="1" applyBorder="1"/>
    <xf numFmtId="0" fontId="3" fillId="0" borderId="17" xfId="0" applyFont="1" applyFill="1" applyBorder="1"/>
    <xf numFmtId="0" fontId="3" fillId="0" borderId="18" xfId="0" applyFont="1" applyFill="1" applyBorder="1" applyProtection="1">
      <protection locked="0"/>
    </xf>
    <xf numFmtId="0" fontId="3" fillId="0" borderId="18" xfId="0" applyFont="1" applyFill="1" applyBorder="1"/>
    <xf numFmtId="2" fontId="3" fillId="0" borderId="18" xfId="0" applyNumberFormat="1" applyFont="1" applyFill="1" applyBorder="1"/>
    <xf numFmtId="2" fontId="3" fillId="0" borderId="19" xfId="0" applyNumberFormat="1" applyFont="1" applyFill="1" applyBorder="1"/>
    <xf numFmtId="2" fontId="0" fillId="0" borderId="20" xfId="0" applyNumberFormat="1" applyFill="1" applyBorder="1" applyProtection="1">
      <protection locked="0"/>
    </xf>
    <xf numFmtId="0" fontId="0" fillId="0" borderId="17" xfId="0" applyFill="1" applyBorder="1"/>
    <xf numFmtId="0" fontId="0" fillId="0" borderId="18" xfId="0" applyFill="1" applyBorder="1" applyProtection="1">
      <protection locked="0"/>
    </xf>
    <xf numFmtId="0" fontId="0" fillId="0" borderId="18" xfId="0" applyFill="1" applyBorder="1"/>
    <xf numFmtId="2" fontId="0" fillId="0" borderId="18" xfId="0" applyNumberFormat="1" applyFill="1" applyBorder="1"/>
    <xf numFmtId="2" fontId="0" fillId="0" borderId="19" xfId="0" applyNumberFormat="1" applyFill="1" applyBorder="1"/>
    <xf numFmtId="0" fontId="6" fillId="0" borderId="11" xfId="0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0" fontId="3" fillId="0" borderId="4" xfId="0" applyFont="1" applyFill="1" applyBorder="1" applyProtection="1">
      <protection locked="0"/>
    </xf>
    <xf numFmtId="0" fontId="0" fillId="0" borderId="21" xfId="0" applyFill="1" applyBorder="1"/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/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ill="1" applyBorder="1" applyProtection="1">
      <protection locked="0"/>
    </xf>
    <xf numFmtId="0" fontId="8" fillId="0" borderId="18" xfId="0" applyFont="1" applyFill="1" applyBorder="1" applyAlignment="1">
      <alignment horizontal="center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>
      <alignment horizontal="center"/>
    </xf>
    <xf numFmtId="0" fontId="7" fillId="0" borderId="3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49" fontId="6" fillId="0" borderId="4" xfId="0" applyNumberFormat="1" applyFont="1" applyFill="1" applyBorder="1" applyAlignment="1" applyProtection="1">
      <alignment horizontal="center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/>
    </xf>
    <xf numFmtId="0" fontId="3" fillId="0" borderId="14" xfId="0" applyFont="1" applyFill="1" applyBorder="1" applyAlignment="1"/>
    <xf numFmtId="0" fontId="3" fillId="0" borderId="4" xfId="0" applyFont="1" applyFill="1" applyBorder="1" applyAlignment="1"/>
    <xf numFmtId="0" fontId="3" fillId="0" borderId="16" xfId="0" applyFont="1" applyFill="1" applyBorder="1" applyAlignment="1"/>
    <xf numFmtId="0" fontId="0" fillId="0" borderId="4" xfId="0" applyFill="1" applyBorder="1"/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1" fontId="6" fillId="0" borderId="4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Fill="1" applyBorder="1"/>
    <xf numFmtId="2" fontId="0" fillId="0" borderId="25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0" fontId="3" fillId="0" borderId="13" xfId="0" applyFont="1" applyFill="1" applyBorder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wrapText="1"/>
      <protection locked="0"/>
    </xf>
    <xf numFmtId="0" fontId="3" fillId="0" borderId="0" xfId="0" applyFont="1" applyFill="1" applyAlignment="1">
      <alignment horizontal="center"/>
    </xf>
    <xf numFmtId="0" fontId="3" fillId="0" borderId="26" xfId="0" applyFont="1" applyFill="1" applyBorder="1" applyAlignment="1">
      <alignment horizontal="center"/>
    </xf>
    <xf numFmtId="14" fontId="3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M47"/>
  <sheetViews>
    <sheetView zoomScaleNormal="100" workbookViewId="0">
      <selection activeCell="I17" sqref="I17"/>
    </sheetView>
  </sheetViews>
  <sheetFormatPr defaultColWidth="8.85546875" defaultRowHeight="15"/>
  <cols>
    <col min="1" max="1" width="11.7109375" style="1" bestFit="1" customWidth="1"/>
    <col min="2" max="2" width="11.5703125" style="1" customWidth="1"/>
    <col min="3" max="3" width="7.28515625" style="1" bestFit="1" customWidth="1"/>
    <col min="4" max="4" width="24.7109375" style="1" bestFit="1" customWidth="1"/>
    <col min="5" max="5" width="8.28515625" style="16" bestFit="1" customWidth="1"/>
    <col min="6" max="6" width="8.42578125" style="16" bestFit="1" customWidth="1"/>
    <col min="7" max="7" width="7.7109375" style="1" customWidth="1"/>
    <col min="8" max="8" width="6.85546875" style="1" bestFit="1" customWidth="1"/>
    <col min="9" max="9" width="6.5703125" style="1" customWidth="1"/>
    <col min="10" max="10" width="10.28515625" style="1" bestFit="1" customWidth="1"/>
    <col min="11" max="16384" width="8.85546875" style="1"/>
  </cols>
  <sheetData>
    <row r="1" spans="1:10" ht="28.9" customHeight="1">
      <c r="A1" s="1" t="s">
        <v>0</v>
      </c>
      <c r="B1" s="102" t="s">
        <v>72</v>
      </c>
      <c r="C1" s="103"/>
      <c r="D1" s="104"/>
      <c r="E1" s="16" t="s">
        <v>27</v>
      </c>
      <c r="F1" s="15"/>
      <c r="G1" s="109" t="s">
        <v>60</v>
      </c>
      <c r="H1" s="108"/>
      <c r="I1" s="110">
        <v>44525</v>
      </c>
      <c r="J1" s="110"/>
    </row>
    <row r="2" spans="1:10" ht="15.75" thickBot="1">
      <c r="B2" s="2" t="s">
        <v>26</v>
      </c>
    </row>
    <row r="3" spans="1:10" s="21" customFormat="1" ht="30.75" thickBot="1">
      <c r="A3" s="17" t="s">
        <v>1</v>
      </c>
      <c r="B3" s="18" t="s">
        <v>2</v>
      </c>
      <c r="C3" s="18" t="s">
        <v>19</v>
      </c>
      <c r="D3" s="18" t="s">
        <v>3</v>
      </c>
      <c r="E3" s="42" t="s">
        <v>20</v>
      </c>
      <c r="F3" s="42" t="s">
        <v>4</v>
      </c>
      <c r="G3" s="19" t="s">
        <v>5</v>
      </c>
      <c r="H3" s="18" t="s">
        <v>6</v>
      </c>
      <c r="I3" s="18" t="s">
        <v>7</v>
      </c>
      <c r="J3" s="20" t="s">
        <v>8</v>
      </c>
    </row>
    <row r="4" spans="1:10" ht="15.75">
      <c r="A4" s="3" t="s">
        <v>9</v>
      </c>
      <c r="B4" s="4" t="s">
        <v>10</v>
      </c>
      <c r="C4" s="50">
        <v>77</v>
      </c>
      <c r="D4" s="51" t="s">
        <v>40</v>
      </c>
      <c r="E4" s="43" t="s">
        <v>42</v>
      </c>
      <c r="F4" s="75">
        <f>9.08*250/200</f>
        <v>11.35</v>
      </c>
      <c r="G4" s="100">
        <v>114.2</v>
      </c>
      <c r="H4" s="100">
        <v>3.4</v>
      </c>
      <c r="I4" s="100">
        <v>3.82</v>
      </c>
      <c r="J4" s="101">
        <v>16.559999999999999</v>
      </c>
    </row>
    <row r="5" spans="1:10" ht="15.75">
      <c r="A5" s="7"/>
      <c r="B5" s="98" t="s">
        <v>11</v>
      </c>
      <c r="C5" s="81">
        <v>30</v>
      </c>
      <c r="D5" s="82" t="s">
        <v>38</v>
      </c>
      <c r="E5" s="83" t="s">
        <v>34</v>
      </c>
      <c r="F5" s="84">
        <v>3.4</v>
      </c>
      <c r="G5" s="9">
        <v>43</v>
      </c>
      <c r="H5" s="9">
        <v>0.06</v>
      </c>
      <c r="I5" s="9">
        <v>0.01</v>
      </c>
      <c r="J5" s="10">
        <v>10.220000000000001</v>
      </c>
    </row>
    <row r="6" spans="1:10" ht="15.75">
      <c r="A6" s="7"/>
      <c r="B6" s="91" t="s">
        <v>33</v>
      </c>
      <c r="C6" s="52">
        <v>6</v>
      </c>
      <c r="D6" s="53" t="s">
        <v>36</v>
      </c>
      <c r="E6" s="44">
        <v>15</v>
      </c>
      <c r="F6" s="72">
        <f>8.22*15/10</f>
        <v>12.330000000000002</v>
      </c>
      <c r="G6" s="9">
        <f>36*23/12</f>
        <v>69</v>
      </c>
      <c r="H6" s="9">
        <f>1.36*23/12</f>
        <v>2.6066666666666669</v>
      </c>
      <c r="I6" s="9">
        <f>2.76*23/12</f>
        <v>5.29</v>
      </c>
      <c r="J6" s="10">
        <f>0.31*23/12</f>
        <v>0.59416666666666662</v>
      </c>
    </row>
    <row r="7" spans="1:10" ht="15.75">
      <c r="A7" s="7"/>
      <c r="B7" s="93"/>
      <c r="C7" s="52">
        <v>3</v>
      </c>
      <c r="D7" s="53" t="s">
        <v>32</v>
      </c>
      <c r="E7" s="44">
        <v>10</v>
      </c>
      <c r="F7" s="72">
        <v>8.2899999999999991</v>
      </c>
      <c r="G7" s="9">
        <f>64.7*15/10</f>
        <v>97.05</v>
      </c>
      <c r="H7" s="9">
        <f>0.08*15/10</f>
        <v>0.12</v>
      </c>
      <c r="I7" s="9">
        <f>7.15*15/10</f>
        <v>10.725</v>
      </c>
      <c r="J7" s="10">
        <f>0.12*15/10</f>
        <v>0.18</v>
      </c>
    </row>
    <row r="8" spans="1:10" ht="15.75">
      <c r="A8" s="7"/>
      <c r="B8" s="92"/>
      <c r="C8" s="80">
        <v>38</v>
      </c>
      <c r="D8" s="53" t="s">
        <v>41</v>
      </c>
      <c r="E8" s="44">
        <v>50</v>
      </c>
      <c r="F8" s="72">
        <v>9.36</v>
      </c>
      <c r="G8" s="9">
        <v>63</v>
      </c>
      <c r="H8" s="9">
        <v>5.0999999999999996</v>
      </c>
      <c r="I8" s="9">
        <v>4.5999999999999996</v>
      </c>
      <c r="J8" s="10">
        <v>0.3</v>
      </c>
    </row>
    <row r="9" spans="1:10" ht="15.75">
      <c r="A9" s="7"/>
      <c r="B9" s="30" t="s">
        <v>17</v>
      </c>
      <c r="C9" s="52" t="s">
        <v>21</v>
      </c>
      <c r="D9" s="53" t="s">
        <v>22</v>
      </c>
      <c r="E9" s="44">
        <v>32</v>
      </c>
      <c r="F9" s="72">
        <f>40.71*0.032</f>
        <v>1.3027200000000001</v>
      </c>
      <c r="G9" s="9">
        <f>40*31/20</f>
        <v>62</v>
      </c>
      <c r="H9" s="9">
        <f>0.98*31/20</f>
        <v>1.5189999999999999</v>
      </c>
      <c r="I9" s="9">
        <f>0.2*31/20</f>
        <v>0.31</v>
      </c>
      <c r="J9" s="10">
        <f>8.95*31/20</f>
        <v>13.872499999999999</v>
      </c>
    </row>
    <row r="10" spans="1:10" ht="15.75">
      <c r="A10" s="7"/>
      <c r="B10" s="60"/>
      <c r="C10" s="52" t="s">
        <v>21</v>
      </c>
      <c r="D10" s="53" t="s">
        <v>37</v>
      </c>
      <c r="E10" s="44">
        <v>33</v>
      </c>
      <c r="F10" s="72">
        <v>2.5499999999999998</v>
      </c>
      <c r="G10" s="9">
        <f>41.6*32/20</f>
        <v>66.56</v>
      </c>
      <c r="H10" s="9">
        <f>1.6*32/20</f>
        <v>2.56</v>
      </c>
      <c r="I10" s="9">
        <f>0.03*32/20</f>
        <v>4.8000000000000001E-2</v>
      </c>
      <c r="J10" s="10">
        <f>8.02*32/20</f>
        <v>12.831999999999999</v>
      </c>
    </row>
    <row r="11" spans="1:10" ht="16.5" thickBot="1">
      <c r="A11" s="65"/>
      <c r="B11" s="66"/>
      <c r="C11" s="67"/>
      <c r="D11" s="68"/>
      <c r="E11" s="69"/>
      <c r="F11" s="76">
        <f>SUM(F4:F10)</f>
        <v>48.582720000000002</v>
      </c>
      <c r="G11" s="70">
        <f>SUM(G4:G10)</f>
        <v>514.80999999999995</v>
      </c>
      <c r="H11" s="70">
        <f>SUM(H4:H10)</f>
        <v>15.365666666666666</v>
      </c>
      <c r="I11" s="70">
        <f>SUM(I4:I10)</f>
        <v>24.802999999999997</v>
      </c>
      <c r="J11" s="99">
        <f>SUM(J4:J10)</f>
        <v>54.558666666666667</v>
      </c>
    </row>
    <row r="12" spans="1:10" ht="30">
      <c r="A12" s="3" t="s">
        <v>23</v>
      </c>
      <c r="B12" s="4"/>
      <c r="C12" s="54">
        <v>75</v>
      </c>
      <c r="D12" s="55" t="s">
        <v>43</v>
      </c>
      <c r="E12" s="45">
        <v>200</v>
      </c>
      <c r="F12" s="75">
        <v>11.35</v>
      </c>
      <c r="G12" s="5">
        <v>138</v>
      </c>
      <c r="H12" s="5">
        <v>2.74</v>
      </c>
      <c r="I12" s="5">
        <v>3.23</v>
      </c>
      <c r="J12" s="6">
        <v>24.11</v>
      </c>
    </row>
    <row r="13" spans="1:10" ht="15.75">
      <c r="A13" s="7"/>
      <c r="B13" s="94"/>
      <c r="C13" s="95">
        <v>62</v>
      </c>
      <c r="D13" s="96" t="s">
        <v>44</v>
      </c>
      <c r="E13" s="97">
        <v>125</v>
      </c>
      <c r="F13" s="84">
        <v>25.09</v>
      </c>
      <c r="G13" s="13">
        <f>271.84*150/100</f>
        <v>407.75999999999993</v>
      </c>
      <c r="H13" s="13">
        <f>10.49*150/100</f>
        <v>15.734999999999999</v>
      </c>
      <c r="I13" s="13">
        <f>11.32*150/100</f>
        <v>16.98</v>
      </c>
      <c r="J13" s="36">
        <f>32*150/100</f>
        <v>48</v>
      </c>
    </row>
    <row r="14" spans="1:10" ht="16.5" thickBot="1">
      <c r="A14" s="61"/>
      <c r="B14" s="38"/>
      <c r="C14" s="62"/>
      <c r="D14" s="63"/>
      <c r="E14" s="64"/>
      <c r="F14" s="77">
        <f>SUM(F12:F13)</f>
        <v>36.44</v>
      </c>
      <c r="G14" s="73">
        <f>SUM(G12:G13)</f>
        <v>545.76</v>
      </c>
      <c r="H14" s="73">
        <f>SUM(H12:H13)</f>
        <v>18.475000000000001</v>
      </c>
      <c r="I14" s="73">
        <f>SUM(I12:I13)</f>
        <v>20.21</v>
      </c>
      <c r="J14" s="74">
        <f>SUM(J12:J13)</f>
        <v>72.11</v>
      </c>
    </row>
    <row r="15" spans="1:10" ht="15.75">
      <c r="A15" s="3" t="s">
        <v>12</v>
      </c>
      <c r="B15" s="4" t="s">
        <v>13</v>
      </c>
      <c r="C15" s="54">
        <v>59</v>
      </c>
      <c r="D15" s="55" t="s">
        <v>61</v>
      </c>
      <c r="E15" s="43" t="s">
        <v>62</v>
      </c>
      <c r="F15" s="75">
        <f>5.62*40/60</f>
        <v>3.746666666666667</v>
      </c>
      <c r="G15" s="5">
        <f>75*30/60</f>
        <v>37.5</v>
      </c>
      <c r="H15" s="5">
        <f>1.26*30/60</f>
        <v>0.63</v>
      </c>
      <c r="I15" s="5">
        <f>4.08*30/60</f>
        <v>2.04</v>
      </c>
      <c r="J15" s="6">
        <f>8.28*30/60</f>
        <v>4.1399999999999997</v>
      </c>
    </row>
    <row r="16" spans="1:10" ht="30">
      <c r="A16" s="7"/>
      <c r="B16" s="8" t="s">
        <v>14</v>
      </c>
      <c r="C16" s="56">
        <v>60</v>
      </c>
      <c r="D16" s="57" t="s">
        <v>45</v>
      </c>
      <c r="E16" s="46" t="s">
        <v>58</v>
      </c>
      <c r="F16" s="72">
        <f>7.56*190/168+10.34*10/32</f>
        <v>11.78125</v>
      </c>
      <c r="G16" s="9">
        <v>110.4</v>
      </c>
      <c r="H16" s="9">
        <v>6.78</v>
      </c>
      <c r="I16" s="9">
        <v>3.06</v>
      </c>
      <c r="J16" s="10">
        <v>11.06</v>
      </c>
    </row>
    <row r="17" spans="1:10" ht="30">
      <c r="A17" s="7"/>
      <c r="B17" s="8" t="s">
        <v>15</v>
      </c>
      <c r="C17" s="56">
        <v>14</v>
      </c>
      <c r="D17" s="57" t="s">
        <v>55</v>
      </c>
      <c r="E17" s="46" t="s">
        <v>63</v>
      </c>
      <c r="F17" s="72">
        <f>32.97*80/90</f>
        <v>29.306666666666665</v>
      </c>
      <c r="G17" s="9">
        <f>214.2*80/90</f>
        <v>190.4</v>
      </c>
      <c r="H17" s="9">
        <f>13.62*80/90</f>
        <v>12.106666666666666</v>
      </c>
      <c r="I17" s="9">
        <f>12.68*80/90</f>
        <v>11.271111111111111</v>
      </c>
      <c r="J17" s="10">
        <f>7.61*80/90</f>
        <v>6.7644444444444449</v>
      </c>
    </row>
    <row r="18" spans="1:10" ht="30">
      <c r="A18" s="7"/>
      <c r="B18" s="8" t="s">
        <v>47</v>
      </c>
      <c r="C18" s="56">
        <v>24</v>
      </c>
      <c r="D18" s="57" t="s">
        <v>48</v>
      </c>
      <c r="E18" s="46" t="s">
        <v>49</v>
      </c>
      <c r="F18" s="72">
        <v>15.98</v>
      </c>
      <c r="G18" s="9">
        <v>300.94</v>
      </c>
      <c r="H18" s="9">
        <v>6.28</v>
      </c>
      <c r="I18" s="9">
        <v>9.94</v>
      </c>
      <c r="J18" s="10">
        <v>46.69</v>
      </c>
    </row>
    <row r="19" spans="1:10" ht="15.75">
      <c r="A19" s="7"/>
      <c r="B19" s="8" t="s">
        <v>50</v>
      </c>
      <c r="C19" s="56">
        <v>42</v>
      </c>
      <c r="D19" s="57" t="s">
        <v>51</v>
      </c>
      <c r="E19" s="46" t="s">
        <v>52</v>
      </c>
      <c r="F19" s="72">
        <v>3.75</v>
      </c>
      <c r="G19" s="9">
        <v>23.06</v>
      </c>
      <c r="H19" s="9">
        <v>0.31</v>
      </c>
      <c r="I19" s="9">
        <v>2.13</v>
      </c>
      <c r="J19" s="10">
        <v>0.68</v>
      </c>
    </row>
    <row r="20" spans="1:10" ht="15.75">
      <c r="A20" s="7"/>
      <c r="B20" s="8" t="s">
        <v>24</v>
      </c>
      <c r="C20" s="56">
        <v>17</v>
      </c>
      <c r="D20" s="57" t="s">
        <v>53</v>
      </c>
      <c r="E20" s="46">
        <v>200</v>
      </c>
      <c r="F20" s="72">
        <v>4.54</v>
      </c>
      <c r="G20" s="9">
        <v>80</v>
      </c>
      <c r="H20" s="9">
        <v>0.44</v>
      </c>
      <c r="I20" s="9">
        <v>0</v>
      </c>
      <c r="J20" s="10">
        <v>18.899999999999999</v>
      </c>
    </row>
    <row r="21" spans="1:10" ht="15.75">
      <c r="A21" s="7"/>
      <c r="B21" s="8" t="s">
        <v>18</v>
      </c>
      <c r="C21" s="56" t="s">
        <v>21</v>
      </c>
      <c r="D21" s="57" t="s">
        <v>25</v>
      </c>
      <c r="E21" s="46" t="s">
        <v>67</v>
      </c>
      <c r="F21" s="72">
        <f>60*0.038</f>
        <v>2.2799999999999998</v>
      </c>
      <c r="G21" s="9">
        <f>62.4*30/30</f>
        <v>62.4</v>
      </c>
      <c r="H21" s="9">
        <f>2.4*30/30</f>
        <v>2.4</v>
      </c>
      <c r="I21" s="9">
        <f>0.45*30/30</f>
        <v>0.45</v>
      </c>
      <c r="J21" s="10">
        <f>11.37*30/30</f>
        <v>11.37</v>
      </c>
    </row>
    <row r="22" spans="1:10" ht="15.75">
      <c r="A22" s="7"/>
      <c r="B22" s="14" t="s">
        <v>16</v>
      </c>
      <c r="C22" s="58" t="s">
        <v>21</v>
      </c>
      <c r="D22" s="59" t="s">
        <v>22</v>
      </c>
      <c r="E22" s="47" t="s">
        <v>64</v>
      </c>
      <c r="F22" s="78">
        <v>1.5</v>
      </c>
      <c r="G22" s="11">
        <f>60*30/30</f>
        <v>60</v>
      </c>
      <c r="H22" s="11">
        <f>1.47*30/30</f>
        <v>1.47</v>
      </c>
      <c r="I22" s="11">
        <f>0.3*30/30</f>
        <v>0.3</v>
      </c>
      <c r="J22" s="12">
        <f>13.44*30/30</f>
        <v>13.44</v>
      </c>
    </row>
    <row r="23" spans="1:10" ht="16.5" thickBot="1">
      <c r="A23" s="37"/>
      <c r="B23" s="38"/>
      <c r="C23" s="39"/>
      <c r="D23" s="39"/>
      <c r="E23" s="49"/>
      <c r="F23" s="79">
        <f>SUM(F15:F22)</f>
        <v>72.884583333333339</v>
      </c>
      <c r="G23" s="40">
        <f>SUM(G15:G22)</f>
        <v>864.69999999999993</v>
      </c>
      <c r="H23" s="40">
        <f>SUM(H15:H22)</f>
        <v>30.416666666666664</v>
      </c>
      <c r="I23" s="40">
        <f>SUM(I15:I22)</f>
        <v>29.191111111111109</v>
      </c>
      <c r="J23" s="41">
        <f>SUM(J15:J22)</f>
        <v>113.04444444444445</v>
      </c>
    </row>
    <row r="24" spans="1:10" ht="16.5" thickBot="1">
      <c r="B24" s="2" t="s">
        <v>28</v>
      </c>
      <c r="E24" s="48"/>
      <c r="F24" s="48"/>
    </row>
    <row r="25" spans="1:10" ht="30.75" thickBot="1">
      <c r="A25" s="17" t="s">
        <v>1</v>
      </c>
      <c r="B25" s="18" t="s">
        <v>2</v>
      </c>
      <c r="C25" s="18" t="s">
        <v>19</v>
      </c>
      <c r="D25" s="18" t="s">
        <v>3</v>
      </c>
      <c r="E25" s="42" t="s">
        <v>20</v>
      </c>
      <c r="F25" s="42" t="s">
        <v>4</v>
      </c>
      <c r="G25" s="19" t="s">
        <v>5</v>
      </c>
      <c r="H25" s="18" t="s">
        <v>6</v>
      </c>
      <c r="I25" s="18" t="s">
        <v>7</v>
      </c>
      <c r="J25" s="20" t="s">
        <v>8</v>
      </c>
    </row>
    <row r="26" spans="1:10" ht="15.75">
      <c r="A26" s="3" t="s">
        <v>9</v>
      </c>
      <c r="B26" s="4" t="s">
        <v>10</v>
      </c>
      <c r="C26" s="50">
        <v>77</v>
      </c>
      <c r="D26" s="51" t="s">
        <v>40</v>
      </c>
      <c r="E26" s="43" t="s">
        <v>42</v>
      </c>
      <c r="F26" s="75">
        <f>9.08*250/200</f>
        <v>11.35</v>
      </c>
      <c r="G26" s="100">
        <v>114.2</v>
      </c>
      <c r="H26" s="100">
        <v>3.4</v>
      </c>
      <c r="I26" s="100">
        <v>3.82</v>
      </c>
      <c r="J26" s="101">
        <v>16.559999999999999</v>
      </c>
    </row>
    <row r="27" spans="1:10" ht="15.75">
      <c r="A27" s="7"/>
      <c r="B27" s="98" t="s">
        <v>11</v>
      </c>
      <c r="C27" s="81">
        <v>30</v>
      </c>
      <c r="D27" s="82" t="s">
        <v>38</v>
      </c>
      <c r="E27" s="83" t="s">
        <v>34</v>
      </c>
      <c r="F27" s="84">
        <v>3.4</v>
      </c>
      <c r="G27" s="9">
        <v>43</v>
      </c>
      <c r="H27" s="9">
        <v>0.06</v>
      </c>
      <c r="I27" s="9">
        <v>0.01</v>
      </c>
      <c r="J27" s="10">
        <v>10.220000000000001</v>
      </c>
    </row>
    <row r="28" spans="1:10" ht="15.75">
      <c r="A28" s="7"/>
      <c r="B28" s="91" t="s">
        <v>33</v>
      </c>
      <c r="C28" s="52">
        <v>6</v>
      </c>
      <c r="D28" s="53" t="s">
        <v>36</v>
      </c>
      <c r="E28" s="44">
        <v>30</v>
      </c>
      <c r="F28" s="72">
        <f>10.11*30/15</f>
        <v>20.219999999999995</v>
      </c>
      <c r="G28" s="9">
        <f>36*34/12</f>
        <v>102</v>
      </c>
      <c r="H28" s="9">
        <f>1.36*34/12</f>
        <v>3.8533333333333335</v>
      </c>
      <c r="I28" s="9">
        <f>2.76*34/12</f>
        <v>7.8199999999999994</v>
      </c>
      <c r="J28" s="10">
        <f>0.31*34/12</f>
        <v>0.8783333333333333</v>
      </c>
    </row>
    <row r="29" spans="1:10" ht="15.75">
      <c r="A29" s="7"/>
      <c r="B29" s="93"/>
      <c r="C29" s="52">
        <v>3</v>
      </c>
      <c r="D29" s="53" t="s">
        <v>32</v>
      </c>
      <c r="E29" s="44">
        <v>10</v>
      </c>
      <c r="F29" s="72">
        <f>8.29*10/10</f>
        <v>8.2899999999999991</v>
      </c>
      <c r="G29" s="9">
        <f>64.7*15/10</f>
        <v>97.05</v>
      </c>
      <c r="H29" s="9">
        <f>0.08*15/10</f>
        <v>0.12</v>
      </c>
      <c r="I29" s="9">
        <f>7.15*15/10</f>
        <v>10.725</v>
      </c>
      <c r="J29" s="10">
        <f>0.12*15/10</f>
        <v>0.18</v>
      </c>
    </row>
    <row r="30" spans="1:10" ht="15.75">
      <c r="A30" s="7"/>
      <c r="B30" s="92"/>
      <c r="C30" s="80">
        <v>38</v>
      </c>
      <c r="D30" s="53" t="s">
        <v>41</v>
      </c>
      <c r="E30" s="44">
        <v>50</v>
      </c>
      <c r="F30" s="72">
        <v>9.36</v>
      </c>
      <c r="G30" s="9">
        <v>63</v>
      </c>
      <c r="H30" s="9">
        <v>5.0999999999999996</v>
      </c>
      <c r="I30" s="9">
        <v>4.5999999999999996</v>
      </c>
      <c r="J30" s="10">
        <v>0.3</v>
      </c>
    </row>
    <row r="31" spans="1:10" ht="15.75">
      <c r="A31" s="7"/>
      <c r="B31" s="30" t="s">
        <v>17</v>
      </c>
      <c r="C31" s="52" t="s">
        <v>21</v>
      </c>
      <c r="D31" s="53" t="s">
        <v>22</v>
      </c>
      <c r="E31" s="44">
        <v>32</v>
      </c>
      <c r="F31" s="72">
        <v>1.31</v>
      </c>
      <c r="G31" s="9">
        <f>40*39/20</f>
        <v>78</v>
      </c>
      <c r="H31" s="9">
        <f>0.98*39/20</f>
        <v>1.911</v>
      </c>
      <c r="I31" s="9">
        <f>0.2*39/20</f>
        <v>0.39</v>
      </c>
      <c r="J31" s="10">
        <f>8.95*39/20</f>
        <v>17.452499999999997</v>
      </c>
    </row>
    <row r="32" spans="1:10" ht="15.75">
      <c r="A32" s="7"/>
      <c r="B32" s="60"/>
      <c r="C32" s="52" t="s">
        <v>21</v>
      </c>
      <c r="D32" s="53" t="s">
        <v>37</v>
      </c>
      <c r="E32" s="44">
        <v>33</v>
      </c>
      <c r="F32" s="72">
        <f>77.5*0.033</f>
        <v>2.5575000000000001</v>
      </c>
      <c r="G32" s="9">
        <f>41.6*39/20</f>
        <v>81.12</v>
      </c>
      <c r="H32" s="9">
        <f>1.6*39/20</f>
        <v>3.12</v>
      </c>
      <c r="I32" s="9">
        <f>0.03*39/20</f>
        <v>5.8499999999999996E-2</v>
      </c>
      <c r="J32" s="10">
        <f>8.02*39/20</f>
        <v>15.638999999999999</v>
      </c>
    </row>
    <row r="33" spans="1:13" ht="16.5" thickBot="1">
      <c r="A33" s="65"/>
      <c r="B33" s="66"/>
      <c r="C33" s="67"/>
      <c r="D33" s="68"/>
      <c r="E33" s="69"/>
      <c r="F33" s="76">
        <f>SUM(F26:F32)</f>
        <v>56.487499999999997</v>
      </c>
      <c r="G33" s="70">
        <f>SUM(G26:G32)</f>
        <v>578.37</v>
      </c>
      <c r="H33" s="70">
        <f>SUM(H26:H32)</f>
        <v>17.564333333333334</v>
      </c>
      <c r="I33" s="70">
        <f>SUM(I26:I32)</f>
        <v>27.423500000000001</v>
      </c>
      <c r="J33" s="99">
        <f>SUM(J26:J32)</f>
        <v>61.229833333333332</v>
      </c>
    </row>
    <row r="34" spans="1:13" ht="30">
      <c r="A34" s="3" t="s">
        <v>23</v>
      </c>
      <c r="B34" s="4"/>
      <c r="C34" s="54">
        <v>75</v>
      </c>
      <c r="D34" s="55" t="s">
        <v>43</v>
      </c>
      <c r="E34" s="45">
        <v>200</v>
      </c>
      <c r="F34" s="75">
        <v>11.35</v>
      </c>
      <c r="G34" s="5">
        <v>138</v>
      </c>
      <c r="H34" s="5">
        <v>2.74</v>
      </c>
      <c r="I34" s="5">
        <v>3.23</v>
      </c>
      <c r="J34" s="6">
        <v>24.11</v>
      </c>
    </row>
    <row r="35" spans="1:13" ht="15.75">
      <c r="A35" s="7"/>
      <c r="B35" s="94"/>
      <c r="C35" s="95">
        <v>62</v>
      </c>
      <c r="D35" s="96" t="s">
        <v>44</v>
      </c>
      <c r="E35" s="97">
        <v>155</v>
      </c>
      <c r="F35" s="84">
        <v>31.01</v>
      </c>
      <c r="G35" s="13">
        <f>271.84*150/100</f>
        <v>407.75999999999993</v>
      </c>
      <c r="H35" s="13">
        <f>10.49*150/100</f>
        <v>15.734999999999999</v>
      </c>
      <c r="I35" s="13">
        <f>11.32*150/100</f>
        <v>16.98</v>
      </c>
      <c r="J35" s="36">
        <f>32*150/100</f>
        <v>48</v>
      </c>
    </row>
    <row r="36" spans="1:13" ht="16.5" thickBot="1">
      <c r="A36" s="61"/>
      <c r="B36" s="38"/>
      <c r="C36" s="62"/>
      <c r="D36" s="63"/>
      <c r="E36" s="64"/>
      <c r="F36" s="77">
        <f>SUM(F34:F35)</f>
        <v>42.36</v>
      </c>
      <c r="G36" s="73">
        <f>SUM(G34:G35)</f>
        <v>545.76</v>
      </c>
      <c r="H36" s="73">
        <f>SUM(H34:H35)</f>
        <v>18.475000000000001</v>
      </c>
      <c r="I36" s="73">
        <f>SUM(I34:I35)</f>
        <v>20.21</v>
      </c>
      <c r="J36" s="74">
        <f>SUM(J34:J35)</f>
        <v>72.11</v>
      </c>
    </row>
    <row r="37" spans="1:13" ht="15.75">
      <c r="A37" s="3" t="s">
        <v>12</v>
      </c>
      <c r="B37" s="4" t="s">
        <v>13</v>
      </c>
      <c r="C37" s="54">
        <v>59</v>
      </c>
      <c r="D37" s="55" t="s">
        <v>61</v>
      </c>
      <c r="E37" s="43" t="s">
        <v>68</v>
      </c>
      <c r="F37" s="75">
        <f>9.27*70/100</f>
        <v>6.4889999999999999</v>
      </c>
      <c r="G37" s="5">
        <f>75*70/60</f>
        <v>87.5</v>
      </c>
      <c r="H37" s="5">
        <f>1.26*70/60</f>
        <v>1.47</v>
      </c>
      <c r="I37" s="5">
        <f>4.08*70/60</f>
        <v>4.7600000000000007</v>
      </c>
      <c r="J37" s="6">
        <f>8.28*70/60</f>
        <v>9.6599999999999984</v>
      </c>
    </row>
    <row r="38" spans="1:13" ht="30">
      <c r="A38" s="7"/>
      <c r="B38" s="8" t="s">
        <v>14</v>
      </c>
      <c r="C38" s="56">
        <v>60</v>
      </c>
      <c r="D38" s="57" t="s">
        <v>45</v>
      </c>
      <c r="E38" s="46" t="s">
        <v>58</v>
      </c>
      <c r="F38" s="72">
        <f>7.56*190/168+10.34*10/32</f>
        <v>11.78125</v>
      </c>
      <c r="G38" s="9">
        <v>110.4</v>
      </c>
      <c r="H38" s="9">
        <v>6.78</v>
      </c>
      <c r="I38" s="9">
        <v>3.06</v>
      </c>
      <c r="J38" s="10">
        <v>11.06</v>
      </c>
      <c r="M38" s="1" t="s">
        <v>35</v>
      </c>
    </row>
    <row r="39" spans="1:13" ht="30">
      <c r="A39" s="7"/>
      <c r="B39" s="8" t="s">
        <v>15</v>
      </c>
      <c r="C39" s="56">
        <v>14</v>
      </c>
      <c r="D39" s="57" t="s">
        <v>59</v>
      </c>
      <c r="E39" s="46" t="s">
        <v>46</v>
      </c>
      <c r="F39" s="72">
        <f>38.9*90/100</f>
        <v>35.01</v>
      </c>
      <c r="G39" s="9">
        <f>214.2*90/90</f>
        <v>214.2</v>
      </c>
      <c r="H39" s="9">
        <f>13.62*90/90</f>
        <v>13.62</v>
      </c>
      <c r="I39" s="9">
        <f>12.68*90/90</f>
        <v>12.68</v>
      </c>
      <c r="J39" s="10">
        <f>7.61*90/90</f>
        <v>7.6099999999999994</v>
      </c>
    </row>
    <row r="40" spans="1:13" ht="30">
      <c r="A40" s="7"/>
      <c r="B40" s="8" t="s">
        <v>47</v>
      </c>
      <c r="C40" s="56">
        <v>24</v>
      </c>
      <c r="D40" s="57" t="s">
        <v>48</v>
      </c>
      <c r="E40" s="46" t="s">
        <v>54</v>
      </c>
      <c r="F40" s="72">
        <v>19.29</v>
      </c>
      <c r="G40" s="9">
        <v>361.13</v>
      </c>
      <c r="H40" s="9">
        <v>7.54</v>
      </c>
      <c r="I40" s="9">
        <v>11.93</v>
      </c>
      <c r="J40" s="10">
        <v>56.03</v>
      </c>
    </row>
    <row r="41" spans="1:13" ht="15.75">
      <c r="A41" s="7"/>
      <c r="B41" s="8" t="s">
        <v>50</v>
      </c>
      <c r="C41" s="56">
        <v>42</v>
      </c>
      <c r="D41" s="57" t="s">
        <v>51</v>
      </c>
      <c r="E41" s="46" t="s">
        <v>52</v>
      </c>
      <c r="F41" s="72">
        <f>3.75*20/20</f>
        <v>3.75</v>
      </c>
      <c r="G41" s="9">
        <v>23.06</v>
      </c>
      <c r="H41" s="9">
        <v>0.31</v>
      </c>
      <c r="I41" s="9">
        <v>2.13</v>
      </c>
      <c r="J41" s="10">
        <v>0.68</v>
      </c>
    </row>
    <row r="42" spans="1:13" ht="15.75">
      <c r="A42" s="7"/>
      <c r="B42" s="8" t="s">
        <v>24</v>
      </c>
      <c r="C42" s="56">
        <v>17</v>
      </c>
      <c r="D42" s="57" t="s">
        <v>53</v>
      </c>
      <c r="E42" s="46">
        <v>200</v>
      </c>
      <c r="F42" s="72">
        <v>4.54</v>
      </c>
      <c r="G42" s="9">
        <v>80</v>
      </c>
      <c r="H42" s="9">
        <v>0.44</v>
      </c>
      <c r="I42" s="9">
        <v>0</v>
      </c>
      <c r="J42" s="10">
        <v>18.899999999999999</v>
      </c>
    </row>
    <row r="43" spans="1:13" ht="15.75">
      <c r="A43" s="7"/>
      <c r="B43" s="8" t="s">
        <v>18</v>
      </c>
      <c r="C43" s="56" t="s">
        <v>21</v>
      </c>
      <c r="D43" s="57" t="s">
        <v>25</v>
      </c>
      <c r="E43" s="46" t="s">
        <v>69</v>
      </c>
      <c r="F43" s="72">
        <v>2.31</v>
      </c>
      <c r="G43" s="9">
        <f>62.4*40/30</f>
        <v>83.2</v>
      </c>
      <c r="H43" s="9">
        <f>2.4*40/30</f>
        <v>3.2</v>
      </c>
      <c r="I43" s="9">
        <f>0.45*40/30</f>
        <v>0.6</v>
      </c>
      <c r="J43" s="10">
        <f>11.37*40/30</f>
        <v>15.159999999999998</v>
      </c>
    </row>
    <row r="44" spans="1:13" ht="15.75">
      <c r="A44" s="7"/>
      <c r="B44" s="14" t="s">
        <v>16</v>
      </c>
      <c r="C44" s="58" t="s">
        <v>21</v>
      </c>
      <c r="D44" s="59" t="s">
        <v>22</v>
      </c>
      <c r="E44" s="47" t="s">
        <v>67</v>
      </c>
      <c r="F44" s="78">
        <f>40.71*0.038</f>
        <v>1.54698</v>
      </c>
      <c r="G44" s="11">
        <f>60*40/30</f>
        <v>80</v>
      </c>
      <c r="H44" s="11">
        <f>1.47*40/30</f>
        <v>1.96</v>
      </c>
      <c r="I44" s="11">
        <f>0.3*40/30</f>
        <v>0.4</v>
      </c>
      <c r="J44" s="12">
        <f>13.44*40/30</f>
        <v>17.920000000000002</v>
      </c>
    </row>
    <row r="45" spans="1:13" s="23" customFormat="1" ht="16.5" thickBot="1">
      <c r="A45" s="37"/>
      <c r="B45" s="38"/>
      <c r="C45" s="39"/>
      <c r="D45" s="39"/>
      <c r="E45" s="49"/>
      <c r="F45" s="79">
        <f>SUM(F37:F44)</f>
        <v>84.717230000000001</v>
      </c>
      <c r="G45" s="40">
        <f>SUM(G37:G44)</f>
        <v>1039.49</v>
      </c>
      <c r="H45" s="40">
        <f>SUM(H37:H44)</f>
        <v>35.32</v>
      </c>
      <c r="I45" s="40">
        <f>SUM(I37:I44)</f>
        <v>35.56</v>
      </c>
      <c r="J45" s="41">
        <f>SUM(J37:J44)</f>
        <v>137.01999999999998</v>
      </c>
    </row>
    <row r="46" spans="1:13">
      <c r="A46" s="22" t="s">
        <v>30</v>
      </c>
    </row>
    <row r="47" spans="1:13">
      <c r="A47" s="22" t="s">
        <v>39</v>
      </c>
    </row>
  </sheetData>
  <mergeCells count="3">
    <mergeCell ref="B1:D1"/>
    <mergeCell ref="G1:H1"/>
    <mergeCell ref="I1:J1"/>
  </mergeCells>
  <pageMargins left="0.23622047244094491" right="0.23622047244094491" top="0.15748031496062992" bottom="0.15748031496062992" header="0.11811023622047245" footer="0.11811023622047245"/>
  <pageSetup paperSize="9" scale="93" orientation="portrait" r:id="rId1"/>
  <ignoredErrors>
    <ignoredError sqref="F14 F3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Normal="100" workbookViewId="0">
      <selection activeCell="F5" sqref="F5"/>
    </sheetView>
  </sheetViews>
  <sheetFormatPr defaultColWidth="8.85546875" defaultRowHeight="15"/>
  <cols>
    <col min="1" max="1" width="11.7109375" style="23" bestFit="1" customWidth="1"/>
    <col min="2" max="2" width="11.5703125" style="23" customWidth="1"/>
    <col min="3" max="3" width="7.28515625" style="23" bestFit="1" customWidth="1"/>
    <col min="4" max="4" width="24.7109375" style="23" bestFit="1" customWidth="1"/>
    <col min="5" max="5" width="8.28515625" style="24" bestFit="1" customWidth="1"/>
    <col min="6" max="6" width="7.28515625" style="24" bestFit="1" customWidth="1"/>
    <col min="7" max="7" width="7.7109375" style="23" customWidth="1"/>
    <col min="8" max="8" width="6.85546875" style="23" bestFit="1" customWidth="1"/>
    <col min="9" max="9" width="6.5703125" style="23" customWidth="1"/>
    <col min="10" max="10" width="10.28515625" style="23" bestFit="1" customWidth="1"/>
    <col min="11" max="16384" width="8.85546875" style="23"/>
  </cols>
  <sheetData>
    <row r="1" spans="1:10" ht="28.9" customHeight="1">
      <c r="A1" s="23" t="s">
        <v>0</v>
      </c>
      <c r="B1" s="105" t="s">
        <v>72</v>
      </c>
      <c r="C1" s="106"/>
      <c r="D1" s="107"/>
      <c r="E1" s="24" t="s">
        <v>27</v>
      </c>
      <c r="F1" s="25"/>
      <c r="G1" s="109" t="s">
        <v>60</v>
      </c>
      <c r="H1" s="108"/>
      <c r="I1" s="110">
        <v>44525</v>
      </c>
      <c r="J1" s="110"/>
    </row>
    <row r="2" spans="1:10" ht="15.75" thickBot="1">
      <c r="B2" s="26" t="s">
        <v>31</v>
      </c>
    </row>
    <row r="3" spans="1:10" s="27" customFormat="1" ht="30.75" thickBot="1">
      <c r="A3" s="85" t="s">
        <v>1</v>
      </c>
      <c r="B3" s="86" t="s">
        <v>2</v>
      </c>
      <c r="C3" s="86" t="s">
        <v>19</v>
      </c>
      <c r="D3" s="86" t="s">
        <v>3</v>
      </c>
      <c r="E3" s="87" t="s">
        <v>20</v>
      </c>
      <c r="F3" s="87" t="s">
        <v>4</v>
      </c>
      <c r="G3" s="88" t="s">
        <v>5</v>
      </c>
      <c r="H3" s="86" t="s">
        <v>6</v>
      </c>
      <c r="I3" s="86" t="s">
        <v>7</v>
      </c>
      <c r="J3" s="89" t="s">
        <v>8</v>
      </c>
    </row>
    <row r="4" spans="1:10" s="27" customFormat="1" ht="15.75">
      <c r="A4" s="3" t="s">
        <v>9</v>
      </c>
      <c r="B4" s="4" t="s">
        <v>10</v>
      </c>
      <c r="C4" s="50">
        <v>77</v>
      </c>
      <c r="D4" s="51" t="s">
        <v>40</v>
      </c>
      <c r="E4" s="43" t="s">
        <v>42</v>
      </c>
      <c r="F4" s="75">
        <f>12.71*250/200</f>
        <v>15.887499999999999</v>
      </c>
      <c r="G4" s="100">
        <v>114.2</v>
      </c>
      <c r="H4" s="100">
        <v>3.4</v>
      </c>
      <c r="I4" s="100">
        <v>3.82</v>
      </c>
      <c r="J4" s="101">
        <v>16.559999999999999</v>
      </c>
    </row>
    <row r="5" spans="1:10" ht="31.9" customHeight="1">
      <c r="A5" s="7"/>
      <c r="B5" s="98" t="s">
        <v>11</v>
      </c>
      <c r="C5" s="81">
        <v>30</v>
      </c>
      <c r="D5" s="82" t="s">
        <v>38</v>
      </c>
      <c r="E5" s="83" t="s">
        <v>34</v>
      </c>
      <c r="F5" s="84">
        <v>4.76</v>
      </c>
      <c r="G5" s="9">
        <v>43</v>
      </c>
      <c r="H5" s="9">
        <v>0.06</v>
      </c>
      <c r="I5" s="9">
        <v>0.01</v>
      </c>
      <c r="J5" s="10">
        <v>10.220000000000001</v>
      </c>
    </row>
    <row r="6" spans="1:10" ht="15.75">
      <c r="A6" s="7"/>
      <c r="B6" s="91" t="s">
        <v>33</v>
      </c>
      <c r="C6" s="52">
        <v>6</v>
      </c>
      <c r="D6" s="53" t="s">
        <v>36</v>
      </c>
      <c r="E6" s="44">
        <v>23</v>
      </c>
      <c r="F6" s="72">
        <f>11.51*23/15</f>
        <v>17.648666666666667</v>
      </c>
      <c r="G6" s="9">
        <f>36*23/12</f>
        <v>69</v>
      </c>
      <c r="H6" s="9">
        <f>1.36*23/12</f>
        <v>2.6066666666666669</v>
      </c>
      <c r="I6" s="9">
        <f>2.76*23/12</f>
        <v>5.29</v>
      </c>
      <c r="J6" s="10">
        <f>0.31*23/12</f>
        <v>0.59416666666666662</v>
      </c>
    </row>
    <row r="7" spans="1:10" ht="15.75">
      <c r="A7" s="7"/>
      <c r="B7" s="93"/>
      <c r="C7" s="52">
        <v>3</v>
      </c>
      <c r="D7" s="53" t="s">
        <v>32</v>
      </c>
      <c r="E7" s="44">
        <v>10</v>
      </c>
      <c r="F7" s="72">
        <v>11.61</v>
      </c>
      <c r="G7" s="9">
        <f>64.7*15/10</f>
        <v>97.05</v>
      </c>
      <c r="H7" s="9">
        <f>0.08*15/10</f>
        <v>0.12</v>
      </c>
      <c r="I7" s="9">
        <f>7.15*15/10</f>
        <v>10.725</v>
      </c>
      <c r="J7" s="10">
        <f>0.12*15/10</f>
        <v>0.18</v>
      </c>
    </row>
    <row r="8" spans="1:10" ht="15.75">
      <c r="A8" s="7"/>
      <c r="B8" s="92"/>
      <c r="C8" s="80">
        <v>38</v>
      </c>
      <c r="D8" s="53" t="s">
        <v>41</v>
      </c>
      <c r="E8" s="44">
        <v>50</v>
      </c>
      <c r="F8" s="72">
        <v>13.1</v>
      </c>
      <c r="G8" s="9">
        <v>63</v>
      </c>
      <c r="H8" s="9">
        <v>5.0999999999999996</v>
      </c>
      <c r="I8" s="9">
        <v>4.5999999999999996</v>
      </c>
      <c r="J8" s="10">
        <v>0.3</v>
      </c>
    </row>
    <row r="9" spans="1:10" ht="15.75">
      <c r="A9" s="7"/>
      <c r="B9" s="30" t="s">
        <v>17</v>
      </c>
      <c r="C9" s="52" t="s">
        <v>21</v>
      </c>
      <c r="D9" s="53" t="s">
        <v>22</v>
      </c>
      <c r="E9" s="44">
        <v>35</v>
      </c>
      <c r="F9" s="72">
        <f>48.86*0.035</f>
        <v>1.7101000000000002</v>
      </c>
      <c r="G9" s="9">
        <f>40*36/20</f>
        <v>72</v>
      </c>
      <c r="H9" s="9">
        <f>0.98*36/20</f>
        <v>1.764</v>
      </c>
      <c r="I9" s="9">
        <f>0.2*36/20</f>
        <v>0.36</v>
      </c>
      <c r="J9" s="10">
        <f>8.95*36/20</f>
        <v>16.11</v>
      </c>
    </row>
    <row r="10" spans="1:10" ht="15.75">
      <c r="A10" s="7"/>
      <c r="B10" s="60"/>
      <c r="C10" s="52" t="s">
        <v>21</v>
      </c>
      <c r="D10" s="53" t="s">
        <v>37</v>
      </c>
      <c r="E10" s="44">
        <v>36</v>
      </c>
      <c r="F10" s="72">
        <v>3.28</v>
      </c>
      <c r="G10" s="9">
        <f>41.6*37/20</f>
        <v>76.960000000000008</v>
      </c>
      <c r="H10" s="9">
        <f>1.6*37/20</f>
        <v>2.96</v>
      </c>
      <c r="I10" s="9">
        <f>0.03*37/20</f>
        <v>5.5499999999999994E-2</v>
      </c>
      <c r="J10" s="10">
        <f>8.02*37/20</f>
        <v>14.837</v>
      </c>
    </row>
    <row r="11" spans="1:10" ht="16.5" thickBot="1">
      <c r="A11" s="65"/>
      <c r="B11" s="66"/>
      <c r="C11" s="67"/>
      <c r="D11" s="68"/>
      <c r="E11" s="69"/>
      <c r="F11" s="76">
        <f>SUM(F4:F10)</f>
        <v>67.996266666666671</v>
      </c>
      <c r="G11" s="70">
        <f>SUM(G4:G10)</f>
        <v>535.21</v>
      </c>
      <c r="H11" s="70">
        <f>SUM(H4:H10)</f>
        <v>16.010666666666665</v>
      </c>
      <c r="I11" s="70">
        <f>SUM(I4:I10)</f>
        <v>24.860499999999998</v>
      </c>
      <c r="J11" s="99">
        <f>SUM(J4:J10)</f>
        <v>58.801166666666674</v>
      </c>
    </row>
    <row r="12" spans="1:10" ht="30">
      <c r="A12" s="29"/>
      <c r="B12" s="8" t="s">
        <v>15</v>
      </c>
      <c r="C12" s="56">
        <v>14</v>
      </c>
      <c r="D12" s="57" t="s">
        <v>59</v>
      </c>
      <c r="E12" s="46" t="s">
        <v>63</v>
      </c>
      <c r="F12" s="72">
        <f>46.16*80/90</f>
        <v>41.031111111111109</v>
      </c>
      <c r="G12" s="9">
        <f>214.2*90/90</f>
        <v>214.2</v>
      </c>
      <c r="H12" s="9">
        <f>13.62*90/90</f>
        <v>13.62</v>
      </c>
      <c r="I12" s="9">
        <f>12.68*90/90</f>
        <v>12.68</v>
      </c>
      <c r="J12" s="10">
        <f>7.61*90/90</f>
        <v>7.6099999999999994</v>
      </c>
    </row>
    <row r="13" spans="1:10" ht="30">
      <c r="A13" s="29"/>
      <c r="B13" s="8" t="s">
        <v>47</v>
      </c>
      <c r="C13" s="56">
        <v>24</v>
      </c>
      <c r="D13" s="57" t="s">
        <v>48</v>
      </c>
      <c r="E13" s="46" t="s">
        <v>49</v>
      </c>
      <c r="F13" s="72">
        <v>22.37</v>
      </c>
      <c r="G13" s="9">
        <v>300.94</v>
      </c>
      <c r="H13" s="9">
        <v>6.28</v>
      </c>
      <c r="I13" s="9">
        <v>9.94</v>
      </c>
      <c r="J13" s="10">
        <v>46.69</v>
      </c>
    </row>
    <row r="14" spans="1:10" ht="15.75">
      <c r="A14" s="29"/>
      <c r="B14" s="8" t="s">
        <v>50</v>
      </c>
      <c r="C14" s="56">
        <v>42</v>
      </c>
      <c r="D14" s="57" t="s">
        <v>51</v>
      </c>
      <c r="E14" s="46" t="s">
        <v>57</v>
      </c>
      <c r="F14" s="72">
        <f>5.25*25/20</f>
        <v>6.5625</v>
      </c>
      <c r="G14" s="9">
        <f>23.06*25/20</f>
        <v>28.824999999999999</v>
      </c>
      <c r="H14" s="9">
        <f>0.31*25/20</f>
        <v>0.38750000000000001</v>
      </c>
      <c r="I14" s="9">
        <f>2.13*25/20</f>
        <v>2.6625000000000001</v>
      </c>
      <c r="J14" s="10">
        <f>0.68*25/20</f>
        <v>0.85</v>
      </c>
    </row>
    <row r="15" spans="1:10" ht="15.75">
      <c r="A15" s="29"/>
      <c r="B15" s="8" t="s">
        <v>24</v>
      </c>
      <c r="C15" s="81">
        <v>30</v>
      </c>
      <c r="D15" s="82" t="s">
        <v>38</v>
      </c>
      <c r="E15" s="83" t="s">
        <v>34</v>
      </c>
      <c r="F15" s="84">
        <v>4.76</v>
      </c>
      <c r="G15" s="9">
        <v>43</v>
      </c>
      <c r="H15" s="9">
        <v>0.06</v>
      </c>
      <c r="I15" s="9">
        <v>0.01</v>
      </c>
      <c r="J15" s="10">
        <v>10.220000000000001</v>
      </c>
    </row>
    <row r="16" spans="1:10" ht="15.75">
      <c r="A16" s="29"/>
      <c r="B16" s="8" t="s">
        <v>18</v>
      </c>
      <c r="C16" s="56" t="s">
        <v>21</v>
      </c>
      <c r="D16" s="57" t="s">
        <v>25</v>
      </c>
      <c r="E16" s="46" t="s">
        <v>65</v>
      </c>
      <c r="F16" s="72">
        <v>1.96</v>
      </c>
      <c r="G16" s="9">
        <f>62.4*34/30</f>
        <v>70.72</v>
      </c>
      <c r="H16" s="9">
        <f>2.4*34/30</f>
        <v>2.7199999999999998</v>
      </c>
      <c r="I16" s="9">
        <f>0.45*34/30</f>
        <v>0.51</v>
      </c>
      <c r="J16" s="10">
        <f>11.37*34/30</f>
        <v>12.885999999999999</v>
      </c>
    </row>
    <row r="17" spans="1:10" ht="15.75">
      <c r="A17" s="29"/>
      <c r="B17" s="14" t="s">
        <v>16</v>
      </c>
      <c r="C17" s="58" t="s">
        <v>21</v>
      </c>
      <c r="D17" s="59" t="s">
        <v>22</v>
      </c>
      <c r="E17" s="47" t="s">
        <v>66</v>
      </c>
      <c r="F17" s="78">
        <f>48.86*0.027</f>
        <v>1.3192200000000001</v>
      </c>
      <c r="G17" s="11">
        <f>60*33/30</f>
        <v>66</v>
      </c>
      <c r="H17" s="11">
        <f>1.47*33/30</f>
        <v>1.617</v>
      </c>
      <c r="I17" s="11">
        <f>0.3*33/30</f>
        <v>0.33</v>
      </c>
      <c r="J17" s="12">
        <f>13.44*33/30</f>
        <v>14.783999999999999</v>
      </c>
    </row>
    <row r="18" spans="1:10" ht="16.5" thickBot="1">
      <c r="A18" s="31"/>
      <c r="B18" s="32"/>
      <c r="C18" s="33"/>
      <c r="D18" s="33"/>
      <c r="E18" s="71"/>
      <c r="F18" s="90">
        <f>SUM(F12:F17)</f>
        <v>78.002831111111107</v>
      </c>
      <c r="G18" s="34">
        <f>SUM(G12:G17)</f>
        <v>723.68500000000006</v>
      </c>
      <c r="H18" s="34">
        <f>SUM(H12:H17)</f>
        <v>24.684499999999996</v>
      </c>
      <c r="I18" s="34">
        <f>SUM(I12:I17)</f>
        <v>26.1325</v>
      </c>
      <c r="J18" s="35">
        <f>SUM(J12:J17)</f>
        <v>93.039999999999992</v>
      </c>
    </row>
    <row r="19" spans="1:10" ht="30">
      <c r="A19" s="28"/>
      <c r="B19" s="8" t="s">
        <v>14</v>
      </c>
      <c r="C19" s="56">
        <v>60</v>
      </c>
      <c r="D19" s="57" t="s">
        <v>45</v>
      </c>
      <c r="E19" s="46" t="s">
        <v>58</v>
      </c>
      <c r="F19" s="72">
        <f>10.58*190/168+14.48*10/32</f>
        <v>16.490476190476191</v>
      </c>
      <c r="G19" s="9">
        <v>110.4</v>
      </c>
      <c r="H19" s="9">
        <v>6.78</v>
      </c>
      <c r="I19" s="9">
        <v>3.06</v>
      </c>
      <c r="J19" s="10">
        <v>11.06</v>
      </c>
    </row>
    <row r="20" spans="1:10" ht="30">
      <c r="A20" s="29"/>
      <c r="B20" s="8" t="s">
        <v>15</v>
      </c>
      <c r="C20" s="56">
        <v>14</v>
      </c>
      <c r="D20" s="57" t="s">
        <v>55</v>
      </c>
      <c r="E20" s="46" t="s">
        <v>63</v>
      </c>
      <c r="F20" s="72">
        <f>46.16*80/90</f>
        <v>41.031111111111109</v>
      </c>
      <c r="G20" s="9">
        <f>214.2*80/90</f>
        <v>190.4</v>
      </c>
      <c r="H20" s="9">
        <f>13.62*80/90</f>
        <v>12.106666666666666</v>
      </c>
      <c r="I20" s="9">
        <f>12.68*80/90</f>
        <v>11.271111111111111</v>
      </c>
      <c r="J20" s="10">
        <f>7.61*80/90</f>
        <v>6.7644444444444449</v>
      </c>
    </row>
    <row r="21" spans="1:10" ht="30">
      <c r="A21" s="29"/>
      <c r="B21" s="8" t="s">
        <v>47</v>
      </c>
      <c r="C21" s="56">
        <v>24</v>
      </c>
      <c r="D21" s="57" t="s">
        <v>48</v>
      </c>
      <c r="E21" s="46" t="s">
        <v>56</v>
      </c>
      <c r="F21" s="72">
        <f>22.37*140/150</f>
        <v>20.878666666666668</v>
      </c>
      <c r="G21" s="9">
        <f>300.94*120/150</f>
        <v>240.75200000000001</v>
      </c>
      <c r="H21" s="9">
        <f>6.28*120/150</f>
        <v>5.024</v>
      </c>
      <c r="I21" s="9">
        <f>9.94*120/150</f>
        <v>7.952</v>
      </c>
      <c r="J21" s="10">
        <f>46.69*120/150</f>
        <v>37.351999999999997</v>
      </c>
    </row>
    <row r="22" spans="1:10" ht="15.75">
      <c r="A22" s="29"/>
      <c r="B22" s="8" t="s">
        <v>50</v>
      </c>
      <c r="C22" s="56">
        <v>42</v>
      </c>
      <c r="D22" s="57" t="s">
        <v>51</v>
      </c>
      <c r="E22" s="46" t="s">
        <v>70</v>
      </c>
      <c r="F22" s="72">
        <f>5.25*15/20</f>
        <v>3.9375</v>
      </c>
      <c r="G22" s="9">
        <f>23.06*25/20</f>
        <v>28.824999999999999</v>
      </c>
      <c r="H22" s="9">
        <f>0.31*25/20</f>
        <v>0.38750000000000001</v>
      </c>
      <c r="I22" s="9">
        <f>2.13*25/20</f>
        <v>2.6625000000000001</v>
      </c>
      <c r="J22" s="10">
        <f>0.68*25/20</f>
        <v>0.85</v>
      </c>
    </row>
    <row r="23" spans="1:10" ht="15.75">
      <c r="A23" s="29"/>
      <c r="B23" s="8" t="s">
        <v>24</v>
      </c>
      <c r="C23" s="81">
        <v>30</v>
      </c>
      <c r="D23" s="82" t="s">
        <v>38</v>
      </c>
      <c r="E23" s="83" t="s">
        <v>34</v>
      </c>
      <c r="F23" s="84">
        <v>4.76</v>
      </c>
      <c r="G23" s="9">
        <v>43</v>
      </c>
      <c r="H23" s="9">
        <v>0.06</v>
      </c>
      <c r="I23" s="9">
        <v>0.01</v>
      </c>
      <c r="J23" s="10">
        <v>10.220000000000001</v>
      </c>
    </row>
    <row r="24" spans="1:10" ht="15.75">
      <c r="A24" s="29"/>
      <c r="B24" s="8" t="s">
        <v>18</v>
      </c>
      <c r="C24" s="56" t="s">
        <v>21</v>
      </c>
      <c r="D24" s="57" t="s">
        <v>25</v>
      </c>
      <c r="E24" s="46" t="s">
        <v>57</v>
      </c>
      <c r="F24" s="72">
        <f>72*0.024</f>
        <v>1.728</v>
      </c>
      <c r="G24" s="9">
        <f>62.4*40/30</f>
        <v>83.2</v>
      </c>
      <c r="H24" s="9">
        <f>2.4*40/30</f>
        <v>3.2</v>
      </c>
      <c r="I24" s="9">
        <f>0.45*40/30</f>
        <v>0.6</v>
      </c>
      <c r="J24" s="10">
        <f>11.37*40/30</f>
        <v>15.159999999999998</v>
      </c>
    </row>
    <row r="25" spans="1:10" ht="15.75">
      <c r="A25" s="29"/>
      <c r="B25" s="14" t="s">
        <v>16</v>
      </c>
      <c r="C25" s="58" t="s">
        <v>21</v>
      </c>
      <c r="D25" s="59" t="s">
        <v>22</v>
      </c>
      <c r="E25" s="47" t="s">
        <v>71</v>
      </c>
      <c r="F25" s="78">
        <f>48.86*0.024</f>
        <v>1.1726399999999999</v>
      </c>
      <c r="G25" s="11">
        <f>60*39/30</f>
        <v>78</v>
      </c>
      <c r="H25" s="11">
        <f>1.47*39/30</f>
        <v>1.911</v>
      </c>
      <c r="I25" s="11">
        <f>0.3*39/30</f>
        <v>0.38999999999999996</v>
      </c>
      <c r="J25" s="12">
        <f>13.44*39/30</f>
        <v>17.471999999999998</v>
      </c>
    </row>
    <row r="26" spans="1:10" ht="16.5" thickBot="1">
      <c r="A26" s="31"/>
      <c r="B26" s="32"/>
      <c r="C26" s="33"/>
      <c r="D26" s="33"/>
      <c r="E26" s="71"/>
      <c r="F26" s="90">
        <f>SUM(F19:F25)</f>
        <v>89.998393968253964</v>
      </c>
      <c r="G26" s="34">
        <f>SUM(G19:G25)</f>
        <v>774.57700000000011</v>
      </c>
      <c r="H26" s="34">
        <f>SUM(H19:H25)</f>
        <v>29.469166666666666</v>
      </c>
      <c r="I26" s="34">
        <f>SUM(I19:I25)</f>
        <v>25.945611111111116</v>
      </c>
      <c r="J26" s="35">
        <f>SUM(J19:J25)</f>
        <v>98.87844444444444</v>
      </c>
    </row>
    <row r="27" spans="1:10" s="1" customFormat="1">
      <c r="E27" s="16"/>
      <c r="F27" s="16"/>
    </row>
    <row r="28" spans="1:10" s="1" customFormat="1">
      <c r="A28" s="22" t="s">
        <v>29</v>
      </c>
      <c r="E28" s="16"/>
      <c r="F28" s="16"/>
    </row>
    <row r="29" spans="1:10" s="1" customFormat="1">
      <c r="E29" s="16"/>
      <c r="F29" s="16"/>
    </row>
    <row r="30" spans="1:10" s="1" customFormat="1">
      <c r="A30" s="22" t="s">
        <v>30</v>
      </c>
      <c r="E30" s="16"/>
      <c r="F30" s="16"/>
    </row>
    <row r="31" spans="1:10" s="1" customFormat="1">
      <c r="E31" s="16"/>
      <c r="F31" s="16"/>
    </row>
  </sheetData>
  <mergeCells count="3">
    <mergeCell ref="B1:D1"/>
    <mergeCell ref="G1:H1"/>
    <mergeCell ref="I1:J1"/>
  </mergeCells>
  <pageMargins left="0.11811023622047245" right="0.11811023622047245" top="0.15748031496062992" bottom="0.15748031496062992" header="0.11811023622047245" footer="0.11811023622047245"/>
  <pageSetup paperSize="9" scale="98" orientation="portrait" r:id="rId1"/>
  <ignoredErrors>
    <ignoredError sqref="F11:F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бесплатно</vt:lpstr>
      <vt:lpstr>платно</vt:lpstr>
      <vt:lpstr>бесплатно!Область_печати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2021-11-24T05:46:57Z</cp:lastPrinted>
  <dcterms:created xsi:type="dcterms:W3CDTF">2015-06-05T18:19:34Z</dcterms:created>
  <dcterms:modified xsi:type="dcterms:W3CDTF">2021-11-24T05:47:21Z</dcterms:modified>
</cp:coreProperties>
</file>