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 activeTab="1"/>
  </bookViews>
  <sheets>
    <sheet name="бесплатно" sheetId="1" r:id="rId1"/>
    <sheet name="платно" sheetId="2" r:id="rId2"/>
  </sheets>
  <definedNames>
    <definedName name="_xlnm.Print_Area" localSheetId="0">бесплатно!$A$1:$J$45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/>
  <c r="F18"/>
  <c r="F19"/>
  <c r="F15"/>
  <c r="F17"/>
  <c r="F12"/>
  <c r="F13"/>
  <c r="J12"/>
  <c r="I12"/>
  <c r="I17" s="1"/>
  <c r="H12"/>
  <c r="G12"/>
  <c r="G17" s="1"/>
  <c r="J17"/>
  <c r="H17"/>
  <c r="F41" i="1" l="1"/>
  <c r="F37"/>
  <c r="F39"/>
  <c r="F38"/>
  <c r="F16"/>
  <c r="F17"/>
  <c r="F18"/>
  <c r="F10" i="2"/>
  <c r="F6"/>
  <c r="F21" i="1"/>
  <c r="F35"/>
  <c r="F30"/>
  <c r="F31"/>
  <c r="F27"/>
  <c r="F14"/>
  <c r="F6"/>
  <c r="F9"/>
  <c r="F7"/>
  <c r="F36"/>
  <c r="F8" i="2"/>
  <c r="F29" i="1"/>
  <c r="F8"/>
  <c r="J22" i="2"/>
  <c r="J21"/>
  <c r="I22"/>
  <c r="I21"/>
  <c r="H22"/>
  <c r="H21"/>
  <c r="G22"/>
  <c r="G21"/>
  <c r="J19"/>
  <c r="I19"/>
  <c r="H19"/>
  <c r="G19"/>
  <c r="J16"/>
  <c r="J15"/>
  <c r="I16"/>
  <c r="I15"/>
  <c r="H16"/>
  <c r="H15"/>
  <c r="G16"/>
  <c r="G15"/>
  <c r="J10"/>
  <c r="J9"/>
  <c r="I10"/>
  <c r="I9"/>
  <c r="H10"/>
  <c r="H9"/>
  <c r="G10"/>
  <c r="G9"/>
  <c r="J8"/>
  <c r="I8"/>
  <c r="H8"/>
  <c r="G8"/>
  <c r="J7"/>
  <c r="I7"/>
  <c r="H7"/>
  <c r="G7"/>
  <c r="J6"/>
  <c r="I6"/>
  <c r="H6"/>
  <c r="G6"/>
  <c r="J21" i="1"/>
  <c r="J20"/>
  <c r="I21"/>
  <c r="I20"/>
  <c r="H21"/>
  <c r="H20"/>
  <c r="G21"/>
  <c r="G20"/>
  <c r="J42"/>
  <c r="J41"/>
  <c r="I42"/>
  <c r="I41"/>
  <c r="H42"/>
  <c r="H41"/>
  <c r="G42"/>
  <c r="G41"/>
  <c r="J39"/>
  <c r="I39"/>
  <c r="H39"/>
  <c r="G39"/>
  <c r="J37"/>
  <c r="I37"/>
  <c r="H37"/>
  <c r="H43" s="1"/>
  <c r="G37"/>
  <c r="G43" s="1"/>
  <c r="J34"/>
  <c r="I34"/>
  <c r="H34"/>
  <c r="G34"/>
  <c r="J35"/>
  <c r="I35"/>
  <c r="H35"/>
  <c r="G35"/>
  <c r="J31"/>
  <c r="J30"/>
  <c r="I31"/>
  <c r="I30"/>
  <c r="H31"/>
  <c r="H30"/>
  <c r="G31"/>
  <c r="G30"/>
  <c r="J27"/>
  <c r="I27"/>
  <c r="H27"/>
  <c r="G27"/>
  <c r="J29"/>
  <c r="I29"/>
  <c r="I32" s="1"/>
  <c r="H29"/>
  <c r="G29"/>
  <c r="J28"/>
  <c r="I28"/>
  <c r="H28"/>
  <c r="G28"/>
  <c r="J14"/>
  <c r="I14"/>
  <c r="H14"/>
  <c r="G14"/>
  <c r="J13"/>
  <c r="I13"/>
  <c r="H13"/>
  <c r="G13"/>
  <c r="J6"/>
  <c r="I6"/>
  <c r="H6"/>
  <c r="G6"/>
  <c r="J8"/>
  <c r="I8"/>
  <c r="H8"/>
  <c r="G8"/>
  <c r="J9"/>
  <c r="I9"/>
  <c r="H9"/>
  <c r="G9"/>
  <c r="J10"/>
  <c r="I10"/>
  <c r="H10"/>
  <c r="G10"/>
  <c r="J7"/>
  <c r="I7"/>
  <c r="H7"/>
  <c r="G7"/>
  <c r="F11" l="1"/>
  <c r="F15"/>
  <c r="G32"/>
  <c r="I43"/>
  <c r="J43"/>
  <c r="F11" i="2"/>
  <c r="F32" i="1"/>
  <c r="F23" i="2"/>
  <c r="F22" i="1"/>
  <c r="H32"/>
  <c r="J32"/>
  <c r="I11" i="2"/>
  <c r="G11"/>
  <c r="H11"/>
  <c r="J11"/>
  <c r="F43" i="1"/>
  <c r="H36" l="1"/>
  <c r="J36"/>
  <c r="I36"/>
  <c r="G36"/>
  <c r="J23" i="2" l="1"/>
  <c r="H11" i="1"/>
  <c r="G11"/>
  <c r="G23" i="2" l="1"/>
  <c r="I23"/>
  <c r="H23"/>
  <c r="G15" i="1" l="1"/>
  <c r="J11"/>
  <c r="G22" l="1"/>
  <c r="I11"/>
  <c r="J22"/>
  <c r="I22"/>
  <c r="H22"/>
  <c r="J15"/>
  <c r="I15"/>
  <c r="H15"/>
</calcChain>
</file>

<file path=xl/sharedStrings.xml><?xml version="1.0" encoding="utf-8"?>
<sst xmlns="http://schemas.openxmlformats.org/spreadsheetml/2006/main" count="181" uniqueCount="66">
  <si>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</si>
  <si>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</si>
  <si>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</si>
  <si>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</si>
  <si>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</si>
  <si>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</si>
  <si>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</si>
  <si>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</si>
  <si>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</si>
  <si>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</si>
  <si>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</si>
  <si>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</si>
  <si>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</si>
  <si>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</si>
  <si>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</si>
  <si>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</si>
  <si>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</si>
  <si>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</si>
  <si>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</si>
  <si>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</si>
  <si>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</si>
  <si>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</si>
  <si>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</si>
  <si>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</si>
  <si>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</si>
  <si>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</si>
  <si>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</si>
  <si>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</si>
  <si>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</si>
  <si>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</si>
  <si>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</si>
  <si>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</si>
  <si>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</si>
  <si>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</si>
  <si>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</si>
  <si>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</si>
  <si>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>Творожное печенье</t>
  </si>
  <si>
    <t xml:space="preserve"> </t>
  </si>
  <si>
    <t>Конфета "35"</t>
  </si>
  <si>
    <t>Сыр (порциями)</t>
  </si>
  <si>
    <t>Какао с молоком</t>
  </si>
  <si>
    <t>Батон</t>
  </si>
  <si>
    <t>Чай с лимоном</t>
  </si>
  <si>
    <t>Гренка молочная</t>
  </si>
  <si>
    <t>42</t>
  </si>
  <si>
    <t>Компот из кураги</t>
  </si>
  <si>
    <t>Зав.производством __________________________________</t>
  </si>
  <si>
    <t>Каша пшенная молочная жидкая</t>
  </si>
  <si>
    <t>день 8</t>
  </si>
  <si>
    <t>Жаркое по-домашнему</t>
  </si>
  <si>
    <t>35</t>
  </si>
  <si>
    <t>160/40</t>
  </si>
  <si>
    <t>150/30</t>
  </si>
  <si>
    <t>39</t>
  </si>
  <si>
    <t>Суп "Волна" с мясом птицы</t>
  </si>
  <si>
    <t>Суп "Волна"</t>
  </si>
  <si>
    <t>250</t>
  </si>
  <si>
    <t>40</t>
  </si>
  <si>
    <t>60</t>
  </si>
  <si>
    <t>41</t>
  </si>
  <si>
    <t>добавка</t>
  </si>
  <si>
    <t>25</t>
  </si>
  <si>
    <t>24</t>
  </si>
  <si>
    <t>145/25</t>
  </si>
  <si>
    <t>245/5</t>
  </si>
  <si>
    <t>МБОУ Элитовская СОШ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</si>
</sst>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2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5"/>
  <sheetViews>
    <sheetView zoomScaleNormal="100" workbookViewId="0">
      <selection activeCell="H4" sqref="H4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7" bestFit="1" customWidth="1"/>
    <col min="6" max="6" width="8.4257812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10.28515625" style="1" bestFit="1" customWidth="1"/>
    <col min="11" max="16384" width="8.85546875" style="1"/>
  </cols>
  <sheetData>
    <row r="1" spans="1:10" ht="28.9" customHeight="1">
      <c r="A1" s="1" t="s">
        <v>0</v>
      </c>
      <c r="B1" s="102" t="s">
        <v>65</v>
      </c>
      <c r="C1" s="103"/>
      <c r="D1" s="104"/>
      <c r="E1" s="17" t="s">
        <v>27</v>
      </c>
      <c r="F1" s="16"/>
      <c r="G1" s="110" t="s">
        <v>48</v>
      </c>
      <c r="H1" s="109"/>
      <c r="I1" s="108">
        <v>44524</v>
      </c>
      <c r="J1" s="108"/>
    </row>
    <row r="2" spans="1:10" ht="15.75" thickBot="1">
      <c r="B2" s="2" t="s">
        <v>26</v>
      </c>
    </row>
    <row r="3" spans="1:10" s="22" customFormat="1" ht="30.75" thickBot="1">
      <c r="A3" s="18" t="s">
        <v>1</v>
      </c>
      <c r="B3" s="19" t="s">
        <v>2</v>
      </c>
      <c r="C3" s="19" t="s">
        <v>19</v>
      </c>
      <c r="D3" s="19" t="s">
        <v>3</v>
      </c>
      <c r="E3" s="44" t="s">
        <v>20</v>
      </c>
      <c r="F3" s="44" t="s">
        <v>4</v>
      </c>
      <c r="G3" s="20" t="s">
        <v>5</v>
      </c>
      <c r="H3" s="19" t="s">
        <v>6</v>
      </c>
      <c r="I3" s="19" t="s">
        <v>7</v>
      </c>
      <c r="J3" s="21" t="s">
        <v>8</v>
      </c>
    </row>
    <row r="4" spans="1:10" ht="30.75" thickBot="1">
      <c r="A4" s="3" t="s">
        <v>9</v>
      </c>
      <c r="B4" s="8" t="s">
        <v>10</v>
      </c>
      <c r="C4" s="52">
        <v>43</v>
      </c>
      <c r="D4" s="53" t="s">
        <v>47</v>
      </c>
      <c r="E4" s="45" t="s">
        <v>35</v>
      </c>
      <c r="F4" s="77">
        <v>14.69</v>
      </c>
      <c r="G4" s="5">
        <v>43.26</v>
      </c>
      <c r="H4" s="5">
        <v>5.64</v>
      </c>
      <c r="I4" s="5">
        <v>7.5</v>
      </c>
      <c r="J4" s="6">
        <v>33.94</v>
      </c>
    </row>
    <row r="5" spans="1:10" ht="15.75">
      <c r="A5" s="7"/>
      <c r="B5" s="30" t="s">
        <v>11</v>
      </c>
      <c r="C5" s="83">
        <v>36</v>
      </c>
      <c r="D5" s="84" t="s">
        <v>40</v>
      </c>
      <c r="E5" s="85" t="s">
        <v>35</v>
      </c>
      <c r="F5" s="86">
        <v>11.46</v>
      </c>
      <c r="G5" s="14">
        <v>117</v>
      </c>
      <c r="H5" s="14">
        <v>4.45</v>
      </c>
      <c r="I5" s="14">
        <v>3.6</v>
      </c>
      <c r="J5" s="38">
        <v>16.149999999999999</v>
      </c>
    </row>
    <row r="6" spans="1:10" ht="15.75">
      <c r="A6" s="7"/>
      <c r="B6" s="93" t="s">
        <v>34</v>
      </c>
      <c r="C6" s="54">
        <v>6</v>
      </c>
      <c r="D6" s="55" t="s">
        <v>39</v>
      </c>
      <c r="E6" s="46">
        <v>10</v>
      </c>
      <c r="F6" s="74">
        <f>8.22*10/12</f>
        <v>6.8500000000000005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>
      <c r="A7" s="7"/>
      <c r="B7" s="95"/>
      <c r="C7" s="54">
        <v>3</v>
      </c>
      <c r="D7" s="55" t="s">
        <v>33</v>
      </c>
      <c r="E7" s="46">
        <v>10</v>
      </c>
      <c r="F7" s="74">
        <f>8.29*10/10</f>
        <v>8.2899999999999991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94"/>
      <c r="C8" s="82" t="s">
        <v>21</v>
      </c>
      <c r="D8" s="55" t="s">
        <v>36</v>
      </c>
      <c r="E8" s="46">
        <v>38</v>
      </c>
      <c r="F8" s="74">
        <f>114.6*0.019*2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2" t="s">
        <v>17</v>
      </c>
      <c r="C9" s="54" t="s">
        <v>21</v>
      </c>
      <c r="D9" s="55" t="s">
        <v>22</v>
      </c>
      <c r="E9" s="46">
        <v>25</v>
      </c>
      <c r="F9" s="74">
        <f>40.71*0.025</f>
        <v>1.0177500000000002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75">
      <c r="A10" s="7"/>
      <c r="B10" s="62"/>
      <c r="C10" s="54" t="s">
        <v>21</v>
      </c>
      <c r="D10" s="55" t="s">
        <v>41</v>
      </c>
      <c r="E10" s="46">
        <v>25</v>
      </c>
      <c r="F10" s="74">
        <v>1.92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5" thickBot="1">
      <c r="A11" s="67"/>
      <c r="B11" s="68"/>
      <c r="C11" s="69"/>
      <c r="D11" s="70"/>
      <c r="E11" s="71"/>
      <c r="F11" s="78">
        <f>SUM(F4:F10)</f>
        <v>48.582549999999998</v>
      </c>
      <c r="G11" s="72">
        <f>SUM(G4:G10)</f>
        <v>507.62</v>
      </c>
      <c r="H11" s="72">
        <f>SUM(H4:H10)</f>
        <v>18.333666666666666</v>
      </c>
      <c r="I11" s="72">
        <f>SUM(I4:I10)</f>
        <v>31.616000000000003</v>
      </c>
      <c r="J11" s="72">
        <f>SUM(J4:J10)</f>
        <v>74.018166666666659</v>
      </c>
    </row>
    <row r="12" spans="1:10" ht="15.75">
      <c r="A12" s="3" t="s">
        <v>23</v>
      </c>
      <c r="B12" s="4"/>
      <c r="C12" s="56">
        <v>30</v>
      </c>
      <c r="D12" s="57" t="s">
        <v>42</v>
      </c>
      <c r="E12" s="47">
        <v>200</v>
      </c>
      <c r="F12" s="77">
        <v>3.4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75">
      <c r="A13" s="7"/>
      <c r="B13" s="96"/>
      <c r="C13" s="97">
        <v>65</v>
      </c>
      <c r="D13" s="98" t="s">
        <v>43</v>
      </c>
      <c r="E13" s="99">
        <v>120</v>
      </c>
      <c r="F13" s="86">
        <v>15.38</v>
      </c>
      <c r="G13" s="14">
        <f>235*140/100</f>
        <v>329</v>
      </c>
      <c r="H13" s="14">
        <f>8.68*140/100</f>
        <v>12.152000000000001</v>
      </c>
      <c r="I13" s="14">
        <f>5.52*140/100</f>
        <v>7.7279999999999998</v>
      </c>
      <c r="J13" s="38">
        <f>37.78*140/100</f>
        <v>52.891999999999996</v>
      </c>
    </row>
    <row r="14" spans="1:10" ht="15.75">
      <c r="A14" s="7"/>
      <c r="B14" s="11"/>
      <c r="C14" s="58" t="s">
        <v>21</v>
      </c>
      <c r="D14" s="59" t="s">
        <v>38</v>
      </c>
      <c r="E14" s="48" t="s">
        <v>44</v>
      </c>
      <c r="F14" s="74">
        <f>420.48*0.042</f>
        <v>17.660160000000001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6.5" thickBot="1">
      <c r="A15" s="63"/>
      <c r="B15" s="40"/>
      <c r="C15" s="64"/>
      <c r="D15" s="65"/>
      <c r="E15" s="66"/>
      <c r="F15" s="79">
        <f>SUM(F12:F14)</f>
        <v>36.440160000000006</v>
      </c>
      <c r="G15" s="75">
        <f>SUM(G12:G14)</f>
        <v>505.476</v>
      </c>
      <c r="H15" s="75">
        <f t="shared" ref="H15:J15" si="0">SUM(H12:H14)</f>
        <v>14.463200000000001</v>
      </c>
      <c r="I15" s="75">
        <f t="shared" si="0"/>
        <v>10.677999999999999</v>
      </c>
      <c r="J15" s="76">
        <f t="shared" si="0"/>
        <v>87.623199999999997</v>
      </c>
    </row>
    <row r="16" spans="1:10" ht="15.75">
      <c r="A16" s="3" t="s">
        <v>12</v>
      </c>
      <c r="B16" s="4" t="s">
        <v>13</v>
      </c>
      <c r="C16" s="56">
        <v>21</v>
      </c>
      <c r="D16" s="57" t="s">
        <v>32</v>
      </c>
      <c r="E16" s="45" t="s">
        <v>57</v>
      </c>
      <c r="F16" s="77">
        <f>8.99*40/60</f>
        <v>5.9933333333333341</v>
      </c>
      <c r="G16" s="5">
        <v>88.8</v>
      </c>
      <c r="H16" s="5">
        <v>1.02</v>
      </c>
      <c r="I16" s="5">
        <v>7.98</v>
      </c>
      <c r="J16" s="6">
        <v>3.06</v>
      </c>
    </row>
    <row r="17" spans="1:10" ht="15.75">
      <c r="A17" s="7"/>
      <c r="B17" s="8" t="s">
        <v>14</v>
      </c>
      <c r="C17" s="58">
        <v>73</v>
      </c>
      <c r="D17" s="59" t="s">
        <v>55</v>
      </c>
      <c r="E17" s="48" t="s">
        <v>56</v>
      </c>
      <c r="F17" s="74">
        <f>16.35*250/250</f>
        <v>16.350000000000001</v>
      </c>
      <c r="G17" s="9">
        <v>206</v>
      </c>
      <c r="H17" s="9">
        <v>10.31</v>
      </c>
      <c r="I17" s="9">
        <v>7.55</v>
      </c>
      <c r="J17" s="10">
        <v>18.48</v>
      </c>
    </row>
    <row r="18" spans="1:10" ht="15.75">
      <c r="A18" s="7"/>
      <c r="B18" s="8" t="s">
        <v>15</v>
      </c>
      <c r="C18" s="58">
        <v>66</v>
      </c>
      <c r="D18" s="59" t="s">
        <v>49</v>
      </c>
      <c r="E18" s="48" t="s">
        <v>52</v>
      </c>
      <c r="F18" s="74">
        <f>36.35*30/50+14.48*150/150</f>
        <v>36.29</v>
      </c>
      <c r="G18" s="9">
        <v>103</v>
      </c>
      <c r="H18" s="9">
        <v>12.92</v>
      </c>
      <c r="I18" s="9">
        <v>2.2799999999999998</v>
      </c>
      <c r="J18" s="10">
        <v>8.31</v>
      </c>
    </row>
    <row r="19" spans="1:10" ht="15.75">
      <c r="A19" s="7"/>
      <c r="B19" s="8" t="s">
        <v>24</v>
      </c>
      <c r="C19" s="58">
        <v>74</v>
      </c>
      <c r="D19" s="59" t="s">
        <v>45</v>
      </c>
      <c r="E19" s="48">
        <v>200</v>
      </c>
      <c r="F19" s="74">
        <v>10.78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>
      <c r="A20" s="7"/>
      <c r="B20" s="8" t="s">
        <v>18</v>
      </c>
      <c r="C20" s="58" t="s">
        <v>21</v>
      </c>
      <c r="D20" s="59" t="s">
        <v>25</v>
      </c>
      <c r="E20" s="48" t="s">
        <v>50</v>
      </c>
      <c r="F20" s="74">
        <v>2.04</v>
      </c>
      <c r="G20" s="9">
        <f>62.4*32/30</f>
        <v>66.56</v>
      </c>
      <c r="H20" s="9">
        <f>2.4*32/30</f>
        <v>2.56</v>
      </c>
      <c r="I20" s="9">
        <f>0.45*32/30</f>
        <v>0.48000000000000004</v>
      </c>
      <c r="J20" s="10">
        <f>11.37*32/30</f>
        <v>12.127999999999998</v>
      </c>
    </row>
    <row r="21" spans="1:10" ht="15.75">
      <c r="A21" s="7"/>
      <c r="B21" s="15" t="s">
        <v>16</v>
      </c>
      <c r="C21" s="60" t="s">
        <v>21</v>
      </c>
      <c r="D21" s="61" t="s">
        <v>22</v>
      </c>
      <c r="E21" s="49" t="s">
        <v>50</v>
      </c>
      <c r="F21" s="80">
        <f>40.71*0.035</f>
        <v>1.4248500000000002</v>
      </c>
      <c r="G21" s="12">
        <f>60*31/30</f>
        <v>62</v>
      </c>
      <c r="H21" s="12">
        <f>1.47*31/30</f>
        <v>1.5189999999999999</v>
      </c>
      <c r="I21" s="12">
        <f>0.3*31/30</f>
        <v>0.30999999999999994</v>
      </c>
      <c r="J21" s="13">
        <f>13.44*31/30</f>
        <v>13.888</v>
      </c>
    </row>
    <row r="22" spans="1:10" ht="16.5" thickBot="1">
      <c r="A22" s="39"/>
      <c r="B22" s="40"/>
      <c r="C22" s="41"/>
      <c r="D22" s="41"/>
      <c r="E22" s="51"/>
      <c r="F22" s="81">
        <f>SUM(F16:F21)</f>
        <v>72.87818333333334</v>
      </c>
      <c r="G22" s="42">
        <f>SUM(G16:G21)</f>
        <v>623.36</v>
      </c>
      <c r="H22" s="42">
        <f>SUM(H16:H21)</f>
        <v>29.008999999999997</v>
      </c>
      <c r="I22" s="42">
        <f>SUM(I16:I21)</f>
        <v>18.880000000000003</v>
      </c>
      <c r="J22" s="43">
        <f>SUM(J16:J21)</f>
        <v>75.506</v>
      </c>
    </row>
    <row r="23" spans="1:10" ht="16.5" thickBot="1">
      <c r="B23" s="2" t="s">
        <v>28</v>
      </c>
      <c r="E23" s="50"/>
      <c r="F23" s="50"/>
    </row>
    <row r="24" spans="1:10" ht="30.75" thickBot="1">
      <c r="A24" s="18" t="s">
        <v>1</v>
      </c>
      <c r="B24" s="19" t="s">
        <v>2</v>
      </c>
      <c r="C24" s="19" t="s">
        <v>19</v>
      </c>
      <c r="D24" s="19" t="s">
        <v>3</v>
      </c>
      <c r="E24" s="44" t="s">
        <v>20</v>
      </c>
      <c r="F24" s="44" t="s">
        <v>4</v>
      </c>
      <c r="G24" s="20" t="s">
        <v>5</v>
      </c>
      <c r="H24" s="19" t="s">
        <v>6</v>
      </c>
      <c r="I24" s="19" t="s">
        <v>7</v>
      </c>
      <c r="J24" s="21" t="s">
        <v>8</v>
      </c>
    </row>
    <row r="25" spans="1:10" ht="30.75" thickBot="1">
      <c r="A25" s="3" t="s">
        <v>9</v>
      </c>
      <c r="B25" s="8" t="s">
        <v>10</v>
      </c>
      <c r="C25" s="52">
        <v>43</v>
      </c>
      <c r="D25" s="53" t="s">
        <v>47</v>
      </c>
      <c r="E25" s="45" t="s">
        <v>35</v>
      </c>
      <c r="F25" s="77">
        <v>14.69</v>
      </c>
      <c r="G25" s="5">
        <v>43.26</v>
      </c>
      <c r="H25" s="5">
        <v>5.64</v>
      </c>
      <c r="I25" s="5">
        <v>7.5</v>
      </c>
      <c r="J25" s="6">
        <v>33.94</v>
      </c>
    </row>
    <row r="26" spans="1:10" ht="15.75">
      <c r="A26" s="7"/>
      <c r="B26" s="30" t="s">
        <v>11</v>
      </c>
      <c r="C26" s="83">
        <v>36</v>
      </c>
      <c r="D26" s="84" t="s">
        <v>40</v>
      </c>
      <c r="E26" s="85" t="s">
        <v>35</v>
      </c>
      <c r="F26" s="86">
        <v>11.46</v>
      </c>
      <c r="G26" s="14">
        <v>117</v>
      </c>
      <c r="H26" s="14">
        <v>4.45</v>
      </c>
      <c r="I26" s="14">
        <v>3.6</v>
      </c>
      <c r="J26" s="38">
        <v>16.149999999999999</v>
      </c>
    </row>
    <row r="27" spans="1:10" ht="15.75">
      <c r="A27" s="7"/>
      <c r="B27" s="93" t="s">
        <v>34</v>
      </c>
      <c r="C27" s="54">
        <v>6</v>
      </c>
      <c r="D27" s="55" t="s">
        <v>39</v>
      </c>
      <c r="E27" s="46">
        <v>20</v>
      </c>
      <c r="F27" s="74">
        <f>10.11*20/15</f>
        <v>13.479999999999999</v>
      </c>
      <c r="G27" s="9">
        <f>36*24/12</f>
        <v>72</v>
      </c>
      <c r="H27" s="9">
        <f>1.36*24/12</f>
        <v>2.72</v>
      </c>
      <c r="I27" s="9">
        <f>2.76*24/12</f>
        <v>5.52</v>
      </c>
      <c r="J27" s="10">
        <f>0.31*24/12</f>
        <v>0.62</v>
      </c>
    </row>
    <row r="28" spans="1:10" ht="15.75">
      <c r="A28" s="7"/>
      <c r="B28" s="95"/>
      <c r="C28" s="54">
        <v>3</v>
      </c>
      <c r="D28" s="55" t="s">
        <v>33</v>
      </c>
      <c r="E28" s="46">
        <v>10</v>
      </c>
      <c r="F28" s="74">
        <v>8.2899999999999991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>
      <c r="A29" s="7"/>
      <c r="B29" s="94"/>
      <c r="C29" s="82" t="s">
        <v>21</v>
      </c>
      <c r="D29" s="55" t="s">
        <v>36</v>
      </c>
      <c r="E29" s="46">
        <v>38</v>
      </c>
      <c r="F29" s="74">
        <f>114.6*0.038</f>
        <v>4.3548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75">
      <c r="A30" s="7"/>
      <c r="B30" s="32" t="s">
        <v>17</v>
      </c>
      <c r="C30" s="54" t="s">
        <v>21</v>
      </c>
      <c r="D30" s="55" t="s">
        <v>22</v>
      </c>
      <c r="E30" s="46">
        <v>35</v>
      </c>
      <c r="F30" s="74">
        <f>40.71*0.035</f>
        <v>1.4248500000000002</v>
      </c>
      <c r="G30" s="9">
        <f>40*37/20</f>
        <v>74</v>
      </c>
      <c r="H30" s="9">
        <f>0.98*37/20</f>
        <v>1.8129999999999999</v>
      </c>
      <c r="I30" s="9">
        <f>0.2*37/20</f>
        <v>0.37</v>
      </c>
      <c r="J30" s="10">
        <f>8.95*37/20</f>
        <v>16.557499999999997</v>
      </c>
    </row>
    <row r="31" spans="1:10" ht="15.75">
      <c r="A31" s="7"/>
      <c r="B31" s="62"/>
      <c r="C31" s="54" t="s">
        <v>21</v>
      </c>
      <c r="D31" s="55" t="s">
        <v>41</v>
      </c>
      <c r="E31" s="46">
        <v>36</v>
      </c>
      <c r="F31" s="74">
        <f>77.5*0.036</f>
        <v>2.7899999999999996</v>
      </c>
      <c r="G31" s="9">
        <f>41.6*38/20</f>
        <v>79.039999999999992</v>
      </c>
      <c r="H31" s="9">
        <f>1.6*38/20</f>
        <v>3.04</v>
      </c>
      <c r="I31" s="9">
        <f>0.03*38/20</f>
        <v>5.6999999999999995E-2</v>
      </c>
      <c r="J31" s="10">
        <f>8.02*38/20</f>
        <v>15.238</v>
      </c>
    </row>
    <row r="32" spans="1:10" ht="16.5" thickBot="1">
      <c r="A32" s="67"/>
      <c r="B32" s="68"/>
      <c r="C32" s="69"/>
      <c r="D32" s="70"/>
      <c r="E32" s="71"/>
      <c r="F32" s="78">
        <f>SUM(F25:F31)</f>
        <v>56.48964999999999</v>
      </c>
      <c r="G32" s="72">
        <f>SUM(G25:G31)</f>
        <v>594.74</v>
      </c>
      <c r="H32" s="72">
        <f>SUM(H25:H31)</f>
        <v>21.273</v>
      </c>
      <c r="I32" s="72">
        <f>SUM(I25:I31)</f>
        <v>34.076999999999998</v>
      </c>
      <c r="J32" s="72">
        <f>SUM(J25:J31)</f>
        <v>86.155499999999989</v>
      </c>
    </row>
    <row r="33" spans="1:13" ht="15.75">
      <c r="A33" s="3" t="s">
        <v>23</v>
      </c>
      <c r="B33" s="4"/>
      <c r="C33" s="56">
        <v>30</v>
      </c>
      <c r="D33" s="57" t="s">
        <v>42</v>
      </c>
      <c r="E33" s="47">
        <v>200</v>
      </c>
      <c r="F33" s="77">
        <v>3.4</v>
      </c>
      <c r="G33" s="5">
        <v>43</v>
      </c>
      <c r="H33" s="5">
        <v>0.06</v>
      </c>
      <c r="I33" s="5">
        <v>0.01</v>
      </c>
      <c r="J33" s="6">
        <v>10.220000000000001</v>
      </c>
    </row>
    <row r="34" spans="1:13" ht="15.75">
      <c r="A34" s="7"/>
      <c r="B34" s="96"/>
      <c r="C34" s="97">
        <v>65</v>
      </c>
      <c r="D34" s="98" t="s">
        <v>43</v>
      </c>
      <c r="E34" s="99">
        <v>160</v>
      </c>
      <c r="F34" s="86">
        <v>21.3</v>
      </c>
      <c r="G34" s="14">
        <f>235*190/100</f>
        <v>446.5</v>
      </c>
      <c r="H34" s="14">
        <f>8.68*190/100</f>
        <v>16.492000000000001</v>
      </c>
      <c r="I34" s="14">
        <f>5.52*190/100</f>
        <v>10.488</v>
      </c>
      <c r="J34" s="38">
        <f>37.78*190/100</f>
        <v>71.781999999999996</v>
      </c>
    </row>
    <row r="35" spans="1:13" ht="15.75">
      <c r="A35" s="7"/>
      <c r="B35" s="11"/>
      <c r="C35" s="58" t="s">
        <v>21</v>
      </c>
      <c r="D35" s="59" t="s">
        <v>38</v>
      </c>
      <c r="E35" s="48" t="s">
        <v>44</v>
      </c>
      <c r="F35" s="74">
        <f>420.48*0.042</f>
        <v>17.660160000000001</v>
      </c>
      <c r="G35" s="9">
        <f>158.9*42/50</f>
        <v>133.476</v>
      </c>
      <c r="H35" s="9">
        <f>2.68*42/50</f>
        <v>2.2511999999999999</v>
      </c>
      <c r="I35" s="9">
        <f>3.5*42/50</f>
        <v>2.94</v>
      </c>
      <c r="J35" s="10">
        <f>29.18*42/50</f>
        <v>24.511199999999999</v>
      </c>
    </row>
    <row r="36" spans="1:13" ht="16.5" thickBot="1">
      <c r="A36" s="63"/>
      <c r="B36" s="40"/>
      <c r="C36" s="64"/>
      <c r="D36" s="65"/>
      <c r="E36" s="66"/>
      <c r="F36" s="79">
        <f>SUM(F33:F35)</f>
        <v>42.36016</v>
      </c>
      <c r="G36" s="75">
        <f>SUM(G33:G35)</f>
        <v>622.976</v>
      </c>
      <c r="H36" s="75">
        <f t="shared" ref="H36:J36" si="1">SUM(H33:H35)</f>
        <v>18.8032</v>
      </c>
      <c r="I36" s="75">
        <f t="shared" si="1"/>
        <v>13.437999999999999</v>
      </c>
      <c r="J36" s="76">
        <f t="shared" si="1"/>
        <v>106.5132</v>
      </c>
    </row>
    <row r="37" spans="1:13" ht="15.75">
      <c r="A37" s="3" t="s">
        <v>12</v>
      </c>
      <c r="B37" s="4" t="s">
        <v>13</v>
      </c>
      <c r="C37" s="56">
        <v>21</v>
      </c>
      <c r="D37" s="57" t="s">
        <v>32</v>
      </c>
      <c r="E37" s="45" t="s">
        <v>58</v>
      </c>
      <c r="F37" s="77">
        <f>14.98*60/100</f>
        <v>8.9880000000000013</v>
      </c>
      <c r="G37" s="5">
        <f>88.8*100/60</f>
        <v>148</v>
      </c>
      <c r="H37" s="5">
        <f>1.02*100/60</f>
        <v>1.7</v>
      </c>
      <c r="I37" s="5">
        <f>7.98*100/60</f>
        <v>13.3</v>
      </c>
      <c r="J37" s="6">
        <f>3.06*100/60</f>
        <v>5.0999999999999996</v>
      </c>
    </row>
    <row r="38" spans="1:13" ht="15.75">
      <c r="A38" s="7"/>
      <c r="B38" s="8" t="s">
        <v>14</v>
      </c>
      <c r="C38" s="58">
        <v>73</v>
      </c>
      <c r="D38" s="59" t="s">
        <v>55</v>
      </c>
      <c r="E38" s="48" t="s">
        <v>56</v>
      </c>
      <c r="F38" s="74">
        <f>16.35*250/250</f>
        <v>16.350000000000001</v>
      </c>
      <c r="G38" s="9">
        <v>206</v>
      </c>
      <c r="H38" s="9">
        <v>10.31</v>
      </c>
      <c r="I38" s="9">
        <v>7.55</v>
      </c>
      <c r="J38" s="10">
        <v>18.48</v>
      </c>
      <c r="M38" s="1" t="s">
        <v>37</v>
      </c>
    </row>
    <row r="39" spans="1:13" ht="15.75">
      <c r="A39" s="7"/>
      <c r="B39" s="8" t="s">
        <v>15</v>
      </c>
      <c r="C39" s="58">
        <v>66</v>
      </c>
      <c r="D39" s="59" t="s">
        <v>49</v>
      </c>
      <c r="E39" s="48" t="s">
        <v>51</v>
      </c>
      <c r="F39" s="74">
        <f>36.35*40/50+14.48*160/150</f>
        <v>44.525333333333336</v>
      </c>
      <c r="G39" s="9">
        <f>103*230/200</f>
        <v>118.45</v>
      </c>
      <c r="H39" s="9">
        <f>12.92*230/200</f>
        <v>14.857999999999999</v>
      </c>
      <c r="I39" s="9">
        <f>2.28*230/200</f>
        <v>2.6219999999999999</v>
      </c>
      <c r="J39" s="10">
        <f>8.31*230/200</f>
        <v>9.5565000000000015</v>
      </c>
    </row>
    <row r="40" spans="1:13" ht="15.75">
      <c r="A40" s="7"/>
      <c r="B40" s="8" t="s">
        <v>24</v>
      </c>
      <c r="C40" s="58">
        <v>74</v>
      </c>
      <c r="D40" s="59" t="s">
        <v>45</v>
      </c>
      <c r="E40" s="48">
        <v>200</v>
      </c>
      <c r="F40" s="74">
        <v>10.78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75">
      <c r="A41" s="7"/>
      <c r="B41" s="8" t="s">
        <v>18</v>
      </c>
      <c r="C41" s="58" t="s">
        <v>21</v>
      </c>
      <c r="D41" s="59" t="s">
        <v>25</v>
      </c>
      <c r="E41" s="48" t="s">
        <v>59</v>
      </c>
      <c r="F41" s="74">
        <f>60*0.041</f>
        <v>2.46</v>
      </c>
      <c r="G41" s="9">
        <f>62.4*39/30</f>
        <v>81.11999999999999</v>
      </c>
      <c r="H41" s="9">
        <f>2.4*39/30</f>
        <v>3.1199999999999997</v>
      </c>
      <c r="I41" s="9">
        <f>0.45*393/30</f>
        <v>5.8949999999999996</v>
      </c>
      <c r="J41" s="10">
        <f>11.37*39/30</f>
        <v>14.780999999999999</v>
      </c>
    </row>
    <row r="42" spans="1:13" ht="15.75">
      <c r="A42" s="7"/>
      <c r="B42" s="15" t="s">
        <v>16</v>
      </c>
      <c r="C42" s="60" t="s">
        <v>21</v>
      </c>
      <c r="D42" s="61" t="s">
        <v>22</v>
      </c>
      <c r="E42" s="49" t="s">
        <v>57</v>
      </c>
      <c r="F42" s="80">
        <v>1.62</v>
      </c>
      <c r="G42" s="12">
        <f>60*38/30</f>
        <v>76</v>
      </c>
      <c r="H42" s="12">
        <f>1.47*38/30</f>
        <v>1.8619999999999999</v>
      </c>
      <c r="I42" s="12">
        <f>0.3*38/30</f>
        <v>0.38</v>
      </c>
      <c r="J42" s="13">
        <f>13.44*38/30</f>
        <v>17.023999999999997</v>
      </c>
    </row>
    <row r="43" spans="1:13" s="24" customFormat="1" ht="16.5" thickBot="1">
      <c r="A43" s="39"/>
      <c r="B43" s="40"/>
      <c r="C43" s="41"/>
      <c r="D43" s="41"/>
      <c r="E43" s="51"/>
      <c r="F43" s="81">
        <f>SUM(F37:F42)</f>
        <v>84.723333333333343</v>
      </c>
      <c r="G43" s="42">
        <f>SUM(G37:G42)</f>
        <v>726.57</v>
      </c>
      <c r="H43" s="42">
        <f>SUM(H37:H42)</f>
        <v>32.53</v>
      </c>
      <c r="I43" s="42">
        <f>SUM(I37:I42)</f>
        <v>30.027000000000001</v>
      </c>
      <c r="J43" s="43">
        <f>SUM(J37:J42)</f>
        <v>84.581500000000005</v>
      </c>
    </row>
    <row r="44" spans="1:13">
      <c r="A44" s="23" t="s">
        <v>30</v>
      </c>
    </row>
    <row r="45" spans="1:13">
      <c r="A45" s="23" t="s">
        <v>46</v>
      </c>
    </row>
  </sheetData>
  <mergeCells count="3">
    <mergeCell ref="B1:D1"/>
    <mergeCell ref="I1:J1"/>
    <mergeCell ref="G1:H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F15 F36 F11 F32 F7 F18 F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Normal="100" workbookViewId="0">
      <selection activeCell="C5" sqref="C5"/>
    </sheetView>
  </sheetViews>
  <sheetFormatPr defaultColWidth="8.85546875" defaultRowHeight="15"/>
  <cols>
    <col min="1" max="1" width="11.7109375" style="24" bestFit="1" customWidth="1"/>
    <col min="2" max="2" width="11.5703125" style="24" customWidth="1"/>
    <col min="3" max="3" width="7.28515625" style="24" bestFit="1" customWidth="1"/>
    <col min="4" max="4" width="24.7109375" style="24" bestFit="1" customWidth="1"/>
    <col min="5" max="5" width="8.28515625" style="25" bestFit="1" customWidth="1"/>
    <col min="6" max="6" width="7.28515625" style="25" bestFit="1" customWidth="1"/>
    <col min="7" max="7" width="7.7109375" style="24" customWidth="1"/>
    <col min="8" max="8" width="6.85546875" style="24" bestFit="1" customWidth="1"/>
    <col min="9" max="9" width="6.5703125" style="24" customWidth="1"/>
    <col min="10" max="10" width="10.28515625" style="24" bestFit="1" customWidth="1"/>
    <col min="11" max="16384" width="8.85546875" style="24"/>
  </cols>
  <sheetData>
    <row r="1" spans="1:10" ht="28.9" customHeight="1">
      <c r="A1" s="24" t="s">
        <v>0</v>
      </c>
      <c r="B1" s="105" t="s">
        <v>65</v>
      </c>
      <c r="C1" s="106"/>
      <c r="D1" s="107"/>
      <c r="E1" s="25" t="s">
        <v>27</v>
      </c>
      <c r="F1" s="26"/>
      <c r="G1" s="110" t="s">
        <v>48</v>
      </c>
      <c r="H1" s="109"/>
      <c r="I1" s="108">
        <v>44524</v>
      </c>
      <c r="J1" s="108"/>
    </row>
    <row r="2" spans="1:10" ht="15.75" thickBot="1">
      <c r="B2" s="27" t="s">
        <v>31</v>
      </c>
    </row>
    <row r="3" spans="1:10" s="28" customFormat="1" ht="30.75" thickBot="1">
      <c r="A3" s="87" t="s">
        <v>1</v>
      </c>
      <c r="B3" s="88" t="s">
        <v>2</v>
      </c>
      <c r="C3" s="88" t="s">
        <v>19</v>
      </c>
      <c r="D3" s="88" t="s">
        <v>3</v>
      </c>
      <c r="E3" s="89" t="s">
        <v>20</v>
      </c>
      <c r="F3" s="89" t="s">
        <v>4</v>
      </c>
      <c r="G3" s="90" t="s">
        <v>5</v>
      </c>
      <c r="H3" s="88" t="s">
        <v>6</v>
      </c>
      <c r="I3" s="88" t="s">
        <v>7</v>
      </c>
      <c r="J3" s="91" t="s">
        <v>8</v>
      </c>
    </row>
    <row r="4" spans="1:10" s="28" customFormat="1" ht="30.75" thickBot="1">
      <c r="A4" s="3" t="s">
        <v>9</v>
      </c>
      <c r="B4" s="8" t="s">
        <v>10</v>
      </c>
      <c r="C4" s="52">
        <v>43</v>
      </c>
      <c r="D4" s="53" t="s">
        <v>47</v>
      </c>
      <c r="E4" s="45" t="s">
        <v>35</v>
      </c>
      <c r="F4" s="77">
        <v>20.56</v>
      </c>
      <c r="G4" s="5">
        <v>43.26</v>
      </c>
      <c r="H4" s="5">
        <v>5.64</v>
      </c>
      <c r="I4" s="5">
        <v>7.5</v>
      </c>
      <c r="J4" s="6">
        <v>33.94</v>
      </c>
    </row>
    <row r="5" spans="1:10" ht="31.9" customHeight="1">
      <c r="A5" s="7"/>
      <c r="B5" s="30" t="s">
        <v>11</v>
      </c>
      <c r="C5" s="83">
        <v>36</v>
      </c>
      <c r="D5" s="84" t="s">
        <v>40</v>
      </c>
      <c r="E5" s="85" t="s">
        <v>35</v>
      </c>
      <c r="F5" s="86">
        <v>16.04</v>
      </c>
      <c r="G5" s="14">
        <v>117</v>
      </c>
      <c r="H5" s="14">
        <v>4.45</v>
      </c>
      <c r="I5" s="14">
        <v>3.6</v>
      </c>
      <c r="J5" s="38">
        <v>16.149999999999999</v>
      </c>
    </row>
    <row r="6" spans="1:10" ht="15.75">
      <c r="A6" s="7"/>
      <c r="B6" s="93" t="s">
        <v>34</v>
      </c>
      <c r="C6" s="54">
        <v>6</v>
      </c>
      <c r="D6" s="55" t="s">
        <v>39</v>
      </c>
      <c r="E6" s="46">
        <v>10</v>
      </c>
      <c r="F6" s="74">
        <f>11.51*10/12</f>
        <v>9.5916666666666668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>
      <c r="A7" s="7"/>
      <c r="B7" s="95"/>
      <c r="C7" s="54">
        <v>3</v>
      </c>
      <c r="D7" s="55" t="s">
        <v>33</v>
      </c>
      <c r="E7" s="46">
        <v>10</v>
      </c>
      <c r="F7" s="74">
        <v>11.61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94"/>
      <c r="C8" s="82" t="s">
        <v>21</v>
      </c>
      <c r="D8" s="55" t="s">
        <v>36</v>
      </c>
      <c r="E8" s="46">
        <v>38</v>
      </c>
      <c r="F8" s="74">
        <f>114.6*0.038*1.4</f>
        <v>6.0967199999999995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2" t="s">
        <v>17</v>
      </c>
      <c r="C9" s="54" t="s">
        <v>21</v>
      </c>
      <c r="D9" s="55" t="s">
        <v>22</v>
      </c>
      <c r="E9" s="46">
        <v>29</v>
      </c>
      <c r="F9" s="74">
        <v>1.4</v>
      </c>
      <c r="G9" s="9">
        <f>40*27/20</f>
        <v>54</v>
      </c>
      <c r="H9" s="9">
        <f>0.98*27/20</f>
        <v>1.323</v>
      </c>
      <c r="I9" s="9">
        <f>0.2*27/20</f>
        <v>0.27</v>
      </c>
      <c r="J9" s="10">
        <f>8.95*27/20</f>
        <v>12.0825</v>
      </c>
    </row>
    <row r="10" spans="1:10" ht="15.75">
      <c r="A10" s="7"/>
      <c r="B10" s="62"/>
      <c r="C10" s="54" t="s">
        <v>21</v>
      </c>
      <c r="D10" s="55" t="s">
        <v>41</v>
      </c>
      <c r="E10" s="46">
        <v>29</v>
      </c>
      <c r="F10" s="74">
        <f>93*0.029</f>
        <v>2.6970000000000001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>
      <c r="A11" s="67"/>
      <c r="B11" s="68"/>
      <c r="C11" s="69"/>
      <c r="D11" s="70"/>
      <c r="E11" s="71"/>
      <c r="F11" s="78">
        <f>SUM(F4:F10)</f>
        <v>67.995386666666661</v>
      </c>
      <c r="G11" s="72">
        <f>SUM(G4:G10)</f>
        <v>521.86</v>
      </c>
      <c r="H11" s="72">
        <f>SUM(H4:H10)</f>
        <v>18.769666666666666</v>
      </c>
      <c r="I11" s="72">
        <f>SUM(I4:I10)</f>
        <v>31.660500000000003</v>
      </c>
      <c r="J11" s="72">
        <f>SUM(J4:J10)</f>
        <v>77.011166666666654</v>
      </c>
    </row>
    <row r="12" spans="1:10" ht="15.75">
      <c r="A12" s="7"/>
      <c r="B12" s="101" t="s">
        <v>60</v>
      </c>
      <c r="C12" s="82" t="s">
        <v>21</v>
      </c>
      <c r="D12" s="55" t="s">
        <v>36</v>
      </c>
      <c r="E12" s="46">
        <v>57</v>
      </c>
      <c r="F12" s="74">
        <f>114.6*0.057*1.4</f>
        <v>9.1450799999999983</v>
      </c>
      <c r="G12" s="9">
        <f>144.74</f>
        <v>144.74</v>
      </c>
      <c r="H12" s="9">
        <f>3.53</f>
        <v>3.53</v>
      </c>
      <c r="I12" s="9">
        <f>9.88</f>
        <v>9.8800000000000008</v>
      </c>
      <c r="J12" s="10">
        <f>3.53</f>
        <v>3.53</v>
      </c>
    </row>
    <row r="13" spans="1:10" ht="15.75">
      <c r="A13" s="31"/>
      <c r="B13" s="8" t="s">
        <v>15</v>
      </c>
      <c r="C13" s="58">
        <v>66</v>
      </c>
      <c r="D13" s="59" t="s">
        <v>49</v>
      </c>
      <c r="E13" s="48" t="s">
        <v>52</v>
      </c>
      <c r="F13" s="100">
        <f>50.89*30/50+20.27*150/150</f>
        <v>50.804000000000002</v>
      </c>
      <c r="G13" s="9">
        <v>103</v>
      </c>
      <c r="H13" s="9">
        <v>12.92</v>
      </c>
      <c r="I13" s="9">
        <v>2.2799999999999998</v>
      </c>
      <c r="J13" s="10">
        <v>8.31</v>
      </c>
    </row>
    <row r="14" spans="1:10" ht="15.75">
      <c r="A14" s="31"/>
      <c r="B14" s="8" t="s">
        <v>24</v>
      </c>
      <c r="C14" s="58">
        <v>74</v>
      </c>
      <c r="D14" s="59" t="s">
        <v>45</v>
      </c>
      <c r="E14" s="48">
        <v>200</v>
      </c>
      <c r="F14" s="74">
        <v>15.09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75">
      <c r="A15" s="31"/>
      <c r="B15" s="8" t="s">
        <v>18</v>
      </c>
      <c r="C15" s="58" t="s">
        <v>21</v>
      </c>
      <c r="D15" s="59" t="s">
        <v>25</v>
      </c>
      <c r="E15" s="48" t="s">
        <v>61</v>
      </c>
      <c r="F15" s="74">
        <f>72*0.025</f>
        <v>1.8</v>
      </c>
      <c r="G15" s="9">
        <f>62.4*25/30</f>
        <v>52</v>
      </c>
      <c r="H15" s="9">
        <f>2.4*25/30</f>
        <v>2</v>
      </c>
      <c r="I15" s="9">
        <f>0.45*25/30</f>
        <v>0.375</v>
      </c>
      <c r="J15" s="10">
        <f>11.37*25/30</f>
        <v>9.4749999999999996</v>
      </c>
    </row>
    <row r="16" spans="1:10" ht="15.75">
      <c r="A16" s="31"/>
      <c r="B16" s="15" t="s">
        <v>16</v>
      </c>
      <c r="C16" s="60" t="s">
        <v>21</v>
      </c>
      <c r="D16" s="61" t="s">
        <v>22</v>
      </c>
      <c r="E16" s="49" t="s">
        <v>62</v>
      </c>
      <c r="F16" s="80">
        <v>1.1599999999999999</v>
      </c>
      <c r="G16" s="12">
        <f>60*24/30</f>
        <v>48</v>
      </c>
      <c r="H16" s="12">
        <f>1.47*24/30</f>
        <v>1.1759999999999999</v>
      </c>
      <c r="I16" s="12">
        <f>0.3*24/30</f>
        <v>0.23999999999999996</v>
      </c>
      <c r="J16" s="13">
        <f>13.44*24/30</f>
        <v>10.752000000000001</v>
      </c>
    </row>
    <row r="17" spans="1:10" ht="16.5" thickBot="1">
      <c r="A17" s="33"/>
      <c r="B17" s="34"/>
      <c r="C17" s="35"/>
      <c r="D17" s="35"/>
      <c r="E17" s="73"/>
      <c r="F17" s="92">
        <f>SUM(F12:F16)</f>
        <v>77.999079999999992</v>
      </c>
      <c r="G17" s="36">
        <f>SUM(G12:G16)</f>
        <v>444.74</v>
      </c>
      <c r="H17" s="36">
        <f>SUM(H12:H16)</f>
        <v>20.305999999999997</v>
      </c>
      <c r="I17" s="36">
        <f>SUM(I12:I16)</f>
        <v>13.055</v>
      </c>
      <c r="J17" s="37">
        <f>SUM(J12:J16)</f>
        <v>51.707000000000001</v>
      </c>
    </row>
    <row r="18" spans="1:10" ht="30">
      <c r="A18" s="29"/>
      <c r="B18" s="8" t="s">
        <v>14</v>
      </c>
      <c r="C18" s="58">
        <v>73</v>
      </c>
      <c r="D18" s="59" t="s">
        <v>54</v>
      </c>
      <c r="E18" s="48" t="s">
        <v>64</v>
      </c>
      <c r="F18" s="74">
        <f>22.89*245/250+5.48*5/10</f>
        <v>25.172200000000004</v>
      </c>
      <c r="G18" s="9">
        <v>206</v>
      </c>
      <c r="H18" s="9">
        <v>10.31</v>
      </c>
      <c r="I18" s="9">
        <v>7.55</v>
      </c>
      <c r="J18" s="10">
        <v>18.48</v>
      </c>
    </row>
    <row r="19" spans="1:10" ht="15.75">
      <c r="A19" s="31"/>
      <c r="B19" s="8" t="s">
        <v>15</v>
      </c>
      <c r="C19" s="58">
        <v>66</v>
      </c>
      <c r="D19" s="59" t="s">
        <v>49</v>
      </c>
      <c r="E19" s="48" t="s">
        <v>63</v>
      </c>
      <c r="F19" s="100">
        <f>50.89*25/50+20.27*145/150</f>
        <v>45.039333333333332</v>
      </c>
      <c r="G19" s="9">
        <f>103*180/200</f>
        <v>92.7</v>
      </c>
      <c r="H19" s="9">
        <f>12.92*180/200</f>
        <v>11.628</v>
      </c>
      <c r="I19" s="9">
        <f>2.28*180/200</f>
        <v>2.052</v>
      </c>
      <c r="J19" s="10">
        <f>8.31*180/200</f>
        <v>7.479000000000001</v>
      </c>
    </row>
    <row r="20" spans="1:10" ht="15.75">
      <c r="A20" s="31"/>
      <c r="B20" s="8" t="s">
        <v>24</v>
      </c>
      <c r="C20" s="58">
        <v>74</v>
      </c>
      <c r="D20" s="59" t="s">
        <v>45</v>
      </c>
      <c r="E20" s="48">
        <v>200</v>
      </c>
      <c r="F20" s="74">
        <v>15.09</v>
      </c>
      <c r="G20" s="9">
        <v>97</v>
      </c>
      <c r="H20" s="9">
        <v>0.68</v>
      </c>
      <c r="I20" s="9">
        <v>0.28000000000000003</v>
      </c>
      <c r="J20" s="10">
        <v>19.64</v>
      </c>
    </row>
    <row r="21" spans="1:10" ht="15.75">
      <c r="A21" s="31"/>
      <c r="B21" s="8" t="s">
        <v>18</v>
      </c>
      <c r="C21" s="58" t="s">
        <v>21</v>
      </c>
      <c r="D21" s="59" t="s">
        <v>25</v>
      </c>
      <c r="E21" s="48" t="s">
        <v>53</v>
      </c>
      <c r="F21" s="74">
        <f>72*0.039</f>
        <v>2.8079999999999998</v>
      </c>
      <c r="G21" s="9">
        <f>62.4*30/30</f>
        <v>62.4</v>
      </c>
      <c r="H21" s="9">
        <f>2.4*30/30</f>
        <v>2.4</v>
      </c>
      <c r="I21" s="9">
        <f>0.45*30/30</f>
        <v>0.45</v>
      </c>
      <c r="J21" s="10">
        <f>11.37*30/30</f>
        <v>11.37</v>
      </c>
    </row>
    <row r="22" spans="1:10" ht="15.75">
      <c r="A22" s="31"/>
      <c r="B22" s="15" t="s">
        <v>16</v>
      </c>
      <c r="C22" s="60" t="s">
        <v>21</v>
      </c>
      <c r="D22" s="61" t="s">
        <v>22</v>
      </c>
      <c r="E22" s="49" t="s">
        <v>53</v>
      </c>
      <c r="F22" s="80">
        <v>1.89</v>
      </c>
      <c r="G22" s="12">
        <f>60*30/30</f>
        <v>60</v>
      </c>
      <c r="H22" s="12">
        <f>1.47*30/30</f>
        <v>1.47</v>
      </c>
      <c r="I22" s="12">
        <f>0.3*30/30</f>
        <v>0.3</v>
      </c>
      <c r="J22" s="13">
        <f>13.44*30/30</f>
        <v>13.44</v>
      </c>
    </row>
    <row r="23" spans="1:10" ht="16.5" thickBot="1">
      <c r="A23" s="33"/>
      <c r="B23" s="34"/>
      <c r="C23" s="35"/>
      <c r="D23" s="35"/>
      <c r="E23" s="73"/>
      <c r="F23" s="92">
        <f>SUM(F18:F22)</f>
        <v>89.999533333333332</v>
      </c>
      <c r="G23" s="36">
        <f>SUM(G19:G22)</f>
        <v>312.10000000000002</v>
      </c>
      <c r="H23" s="36">
        <f>SUM(H19:H22)</f>
        <v>16.178000000000001</v>
      </c>
      <c r="I23" s="36">
        <f>SUM(I19:I22)</f>
        <v>3.0819999999999999</v>
      </c>
      <c r="J23" s="37">
        <f>SUM(J19:J22)</f>
        <v>51.928999999999995</v>
      </c>
    </row>
    <row r="24" spans="1:10" s="1" customFormat="1">
      <c r="E24" s="17"/>
      <c r="F24" s="17"/>
    </row>
    <row r="25" spans="1:10" s="1" customFormat="1">
      <c r="A25" s="23" t="s">
        <v>29</v>
      </c>
      <c r="E25" s="17"/>
      <c r="F25" s="17"/>
    </row>
    <row r="26" spans="1:10" s="1" customFormat="1">
      <c r="E26" s="17"/>
      <c r="F26" s="17"/>
    </row>
    <row r="27" spans="1:10" s="1" customFormat="1">
      <c r="A27" s="23" t="s">
        <v>30</v>
      </c>
      <c r="E27" s="17"/>
      <c r="F27" s="17"/>
    </row>
    <row r="28" spans="1:10" s="1" customFormat="1">
      <c r="E28" s="17"/>
      <c r="F28" s="17"/>
    </row>
  </sheetData>
  <mergeCells count="3">
    <mergeCell ref="B1:D1"/>
    <mergeCell ref="G1:H1"/>
    <mergeCell ref="I1:J1"/>
  </mergeCells>
  <pageMargins left="0.11811023622047245" right="0.11811023622047245" top="0.15748031496062992" bottom="0.15748031496062992" header="0.11811023622047245" footer="0.11811023622047245"/>
  <pageSetup paperSize="9" scale="98" orientation="portrait" r:id="rId1"/>
  <ignoredErrors>
    <ignoredError sqref="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2021-11-23T03:38:58Z</cp:lastPrinted>
  <dcterms:created xsi:type="dcterms:W3CDTF">2015-06-05T18:19:34Z</dcterms:created>
  <dcterms:modified xsi:type="dcterms:W3CDTF">2021-11-23T03:39:24Z</dcterms:modified>
</cp:coreProperties>
</file>